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Tabela Nr 1" sheetId="47" r:id="rId1"/>
    <sheet name="Tabela Nr 2" sheetId="46" r:id="rId2"/>
    <sheet name="Tabela Nr 3" sheetId="52" r:id="rId3"/>
    <sheet name="Tabela Nr 4" sheetId="53" r:id="rId4"/>
    <sheet name="Załącznik Nr 1" sheetId="37" r:id="rId5"/>
    <sheet name="Załącznik Nr 2" sheetId="38" r:id="rId6"/>
    <sheet name="Załącznik Nr 3" sheetId="39" r:id="rId7"/>
    <sheet name="Załącznik Nr 4" sheetId="40" r:id="rId8"/>
    <sheet name="Załącznik Nr 5" sheetId="41" r:id="rId9"/>
    <sheet name="Załącznik Nr 6" sheetId="42" r:id="rId10"/>
    <sheet name="Załącznik Nr 7" sheetId="43" r:id="rId11"/>
    <sheet name="Załącznik Nr 8" sheetId="54" r:id="rId12"/>
    <sheet name="Załącznik Nr 9" sheetId="55" r:id="rId13"/>
    <sheet name="Załącznik Nr 10" sheetId="56" r:id="rId14"/>
    <sheet name="Załącznik Nr 11" sheetId="57" r:id="rId15"/>
    <sheet name="Zał Nr 12 adm.rząd.doch." sheetId="48" r:id="rId16"/>
    <sheet name="Zał Nr 12 adm.rzad.wyd." sheetId="49" r:id="rId17"/>
    <sheet name="adm.rząd. dofin." sheetId="50" r:id="rId18"/>
    <sheet name="Załącznik Nr 13" sheetId="51" r:id="rId19"/>
    <sheet name="Załącznik Nr 14" sheetId="44" r:id="rId20"/>
  </sheets>
  <definedNames>
    <definedName name="_xlnm.Print_Area" localSheetId="0">'Tabela Nr 1'!$A$1:$E$335</definedName>
    <definedName name="_xlnm.Print_Area" localSheetId="1">'Tabela Nr 2'!$A$1:$F$1812</definedName>
    <definedName name="_xlnm.Print_Area" localSheetId="2">'Tabela Nr 3'!$A$1:$J$800</definedName>
    <definedName name="_xlnm.Print_Area" localSheetId="3">'Tabela Nr 4'!$A$1:$J$552</definedName>
    <definedName name="_xlnm.Print_Area" localSheetId="16">'Zał Nr 12 adm.rzad.wyd.'!$A$1:$L$149</definedName>
    <definedName name="_xlnm.Print_Area" localSheetId="15">'Zał Nr 12 adm.rząd.doch.'!$A$1:$E$55</definedName>
    <definedName name="_xlnm.Print_Area" localSheetId="4">'Załącznik Nr 1'!$A$1:$F$49</definedName>
    <definedName name="_xlnm.Print_Area" localSheetId="13">'Załącznik Nr 10'!$A$1:$G$18</definedName>
    <definedName name="_xlnm.Print_Area" localSheetId="14">'Załącznik Nr 11'!$A$1:$G$17</definedName>
    <definedName name="_xlnm.Print_Area" localSheetId="18">'Załącznik Nr 13'!$A$1:$G$29</definedName>
    <definedName name="_xlnm.Print_Area" localSheetId="19">'Załącznik Nr 14'!$A$1:$D$31</definedName>
    <definedName name="_xlnm.Print_Area" localSheetId="5">'Załącznik Nr 2'!$A$1:$I$39</definedName>
    <definedName name="_xlnm.Print_Area" localSheetId="6">'Załącznik Nr 3'!$A$1:$G$19</definedName>
    <definedName name="_xlnm.Print_Area" localSheetId="7">'Załącznik Nr 4'!$A$1:$F$6</definedName>
    <definedName name="_xlnm.Print_Area" localSheetId="8">'Załącznik Nr 5'!$A$1:$I$10</definedName>
    <definedName name="_xlnm.Print_Area" localSheetId="9">'Załącznik Nr 6'!$A$1:$I$9</definedName>
    <definedName name="_xlnm.Print_Area" localSheetId="10">'Załącznik Nr 7'!$A$1:$K$18</definedName>
    <definedName name="_xlnm.Print_Area" localSheetId="11">'Załącznik Nr 8'!$A$1:$G$34</definedName>
    <definedName name="_xlnm.Print_Area" localSheetId="12">'Załącznik Nr 9'!$A$1:$G$21</definedName>
    <definedName name="_xlnm.Print_Titles" localSheetId="0">'Tabela Nr 1'!$5:$7</definedName>
    <definedName name="_xlnm.Print_Titles" localSheetId="1">'Tabela Nr 2'!$4:$5</definedName>
    <definedName name="_xlnm.Print_Titles" localSheetId="2">'Tabela Nr 3'!$5:$6</definedName>
    <definedName name="_xlnm.Print_Titles" localSheetId="3">'Tabela Nr 4'!$4:$5</definedName>
    <definedName name="_xlnm.Print_Titles" localSheetId="16">'Zał Nr 12 adm.rzad.wyd.'!$1:$5</definedName>
  </definedNames>
  <calcPr calcId="152511"/>
</workbook>
</file>

<file path=xl/calcChain.xml><?xml version="1.0" encoding="utf-8"?>
<calcChain xmlns="http://schemas.openxmlformats.org/spreadsheetml/2006/main">
  <c r="E44" i="48"/>
  <c r="E353" i="47" l="1"/>
  <c r="F17" i="57" l="1"/>
  <c r="E17"/>
  <c r="D16"/>
  <c r="D15"/>
  <c r="D17" s="1"/>
  <c r="F10"/>
  <c r="E10"/>
  <c r="D9"/>
  <c r="D8"/>
  <c r="D10" s="1"/>
  <c r="F18" i="56"/>
  <c r="E18"/>
  <c r="D17"/>
  <c r="D16"/>
  <c r="D15"/>
  <c r="D18" s="1"/>
  <c r="F10"/>
  <c r="E10"/>
  <c r="D9"/>
  <c r="D8"/>
  <c r="D10" s="1"/>
  <c r="F21" i="55"/>
  <c r="E21"/>
  <c r="D20"/>
  <c r="D19"/>
  <c r="D18"/>
  <c r="F13"/>
  <c r="E13"/>
  <c r="D12"/>
  <c r="D11"/>
  <c r="D10"/>
  <c r="D9"/>
  <c r="D8"/>
  <c r="D7"/>
  <c r="F34" i="54"/>
  <c r="E34"/>
  <c r="D33"/>
  <c r="D32"/>
  <c r="D31"/>
  <c r="D30"/>
  <c r="D29"/>
  <c r="D28"/>
  <c r="D27"/>
  <c r="D26"/>
  <c r="F21"/>
  <c r="E21"/>
  <c r="D20"/>
  <c r="D19"/>
  <c r="D18"/>
  <c r="D17"/>
  <c r="D16"/>
  <c r="D15"/>
  <c r="D14"/>
  <c r="D13"/>
  <c r="D12"/>
  <c r="D11"/>
  <c r="D10"/>
  <c r="D9"/>
  <c r="D8"/>
  <c r="D7"/>
  <c r="F551" i="53"/>
  <c r="F550"/>
  <c r="J549"/>
  <c r="I549"/>
  <c r="H549"/>
  <c r="G549"/>
  <c r="F548"/>
  <c r="F547"/>
  <c r="F546"/>
  <c r="F545"/>
  <c r="F544"/>
  <c r="F543"/>
  <c r="F542"/>
  <c r="F541"/>
  <c r="F540"/>
  <c r="F539"/>
  <c r="F538"/>
  <c r="F536" s="1"/>
  <c r="F537"/>
  <c r="J536"/>
  <c r="I536"/>
  <c r="H536"/>
  <c r="G536"/>
  <c r="F535"/>
  <c r="F534"/>
  <c r="F533"/>
  <c r="F532"/>
  <c r="F531"/>
  <c r="F530"/>
  <c r="F529"/>
  <c r="F528"/>
  <c r="F527"/>
  <c r="F526"/>
  <c r="J525"/>
  <c r="I525"/>
  <c r="H525"/>
  <c r="G525"/>
  <c r="F524"/>
  <c r="F522" s="1"/>
  <c r="F523"/>
  <c r="J522"/>
  <c r="I522"/>
  <c r="H522"/>
  <c r="G522"/>
  <c r="I521"/>
  <c r="I520" s="1"/>
  <c r="G521"/>
  <c r="G520" s="1"/>
  <c r="F519"/>
  <c r="F518"/>
  <c r="J517"/>
  <c r="I517"/>
  <c r="H517"/>
  <c r="G517"/>
  <c r="F516"/>
  <c r="F515"/>
  <c r="F514"/>
  <c r="F513"/>
  <c r="F512"/>
  <c r="F511"/>
  <c r="F510"/>
  <c r="F509"/>
  <c r="F508"/>
  <c r="F507"/>
  <c r="F506"/>
  <c r="J505"/>
  <c r="I505"/>
  <c r="H505"/>
  <c r="G505"/>
  <c r="F504"/>
  <c r="F503"/>
  <c r="F502"/>
  <c r="F501"/>
  <c r="F500"/>
  <c r="J499"/>
  <c r="I499"/>
  <c r="I498" s="1"/>
  <c r="I497" s="1"/>
  <c r="H499"/>
  <c r="G499"/>
  <c r="G498" s="1"/>
  <c r="G497" s="1"/>
  <c r="J498"/>
  <c r="J497" s="1"/>
  <c r="H498"/>
  <c r="F494"/>
  <c r="F493"/>
  <c r="J492"/>
  <c r="I492"/>
  <c r="H492"/>
  <c r="G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J463"/>
  <c r="I463"/>
  <c r="H463"/>
  <c r="G463"/>
  <c r="F462"/>
  <c r="F461"/>
  <c r="F460"/>
  <c r="F459"/>
  <c r="F458"/>
  <c r="F457"/>
  <c r="F456"/>
  <c r="F455"/>
  <c r="F454"/>
  <c r="F453"/>
  <c r="J452"/>
  <c r="I452"/>
  <c r="H452"/>
  <c r="G452"/>
  <c r="J451"/>
  <c r="J450" s="1"/>
  <c r="F449"/>
  <c r="F447" s="1"/>
  <c r="F448"/>
  <c r="J447"/>
  <c r="I447"/>
  <c r="H447"/>
  <c r="G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J422"/>
  <c r="I422"/>
  <c r="I410" s="1"/>
  <c r="I409" s="1"/>
  <c r="H422"/>
  <c r="G422"/>
  <c r="F421"/>
  <c r="F420"/>
  <c r="F419"/>
  <c r="F418"/>
  <c r="F417"/>
  <c r="F416"/>
  <c r="F415"/>
  <c r="F414"/>
  <c r="F413"/>
  <c r="F411" s="1"/>
  <c r="F412"/>
  <c r="J411"/>
  <c r="I411"/>
  <c r="H411"/>
  <c r="H410" s="1"/>
  <c r="H409" s="1"/>
  <c r="G411"/>
  <c r="F406"/>
  <c r="F405"/>
  <c r="F404"/>
  <c r="F403"/>
  <c r="J402"/>
  <c r="I402"/>
  <c r="H402"/>
  <c r="G402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J375"/>
  <c r="J358" s="1"/>
  <c r="I375"/>
  <c r="I358" s="1"/>
  <c r="I357" s="1"/>
  <c r="H375"/>
  <c r="G375"/>
  <c r="F374"/>
  <c r="F373"/>
  <c r="F372"/>
  <c r="F371"/>
  <c r="F370"/>
  <c r="F369"/>
  <c r="F368"/>
  <c r="F367"/>
  <c r="F366"/>
  <c r="F365"/>
  <c r="J364"/>
  <c r="I364"/>
  <c r="H364"/>
  <c r="G364"/>
  <c r="F363"/>
  <c r="F362"/>
  <c r="F361"/>
  <c r="F360"/>
  <c r="J359"/>
  <c r="I359"/>
  <c r="H359"/>
  <c r="H358" s="1"/>
  <c r="H357" s="1"/>
  <c r="G359"/>
  <c r="F356"/>
  <c r="F355"/>
  <c r="J354"/>
  <c r="I354"/>
  <c r="H354"/>
  <c r="G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J327"/>
  <c r="J310" s="1"/>
  <c r="J309" s="1"/>
  <c r="I327"/>
  <c r="H327"/>
  <c r="G327"/>
  <c r="F326"/>
  <c r="F325"/>
  <c r="F324"/>
  <c r="F323"/>
  <c r="F322"/>
  <c r="F321"/>
  <c r="F320"/>
  <c r="F319"/>
  <c r="F318"/>
  <c r="F317"/>
  <c r="J316"/>
  <c r="I316"/>
  <c r="H316"/>
  <c r="G316"/>
  <c r="F315"/>
  <c r="F314"/>
  <c r="F313"/>
  <c r="F312"/>
  <c r="J311"/>
  <c r="I311"/>
  <c r="H311"/>
  <c r="H310" s="1"/>
  <c r="H309" s="1"/>
  <c r="G311"/>
  <c r="F308"/>
  <c r="F306"/>
  <c r="J305"/>
  <c r="I305"/>
  <c r="I289" s="1"/>
  <c r="H305"/>
  <c r="G305"/>
  <c r="F305"/>
  <c r="F304"/>
  <c r="F303"/>
  <c r="F302"/>
  <c r="F301"/>
  <c r="J300"/>
  <c r="I300"/>
  <c r="H300"/>
  <c r="G300"/>
  <c r="F299"/>
  <c r="F298"/>
  <c r="F297"/>
  <c r="F296"/>
  <c r="J295"/>
  <c r="I295"/>
  <c r="H295"/>
  <c r="G295"/>
  <c r="F295"/>
  <c r="F294"/>
  <c r="F293"/>
  <c r="F292"/>
  <c r="J291"/>
  <c r="J290" s="1"/>
  <c r="J289" s="1"/>
  <c r="I291"/>
  <c r="H291"/>
  <c r="G291"/>
  <c r="F291"/>
  <c r="I290"/>
  <c r="H290"/>
  <c r="H289"/>
  <c r="F288"/>
  <c r="F287"/>
  <c r="F286"/>
  <c r="F285"/>
  <c r="F284"/>
  <c r="F283"/>
  <c r="J282"/>
  <c r="J253" s="1"/>
  <c r="I282"/>
  <c r="I253" s="1"/>
  <c r="H282"/>
  <c r="G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J254"/>
  <c r="I254"/>
  <c r="H254"/>
  <c r="G254"/>
  <c r="F250"/>
  <c r="F249"/>
  <c r="F248"/>
  <c r="F247"/>
  <c r="J246"/>
  <c r="I246"/>
  <c r="H246"/>
  <c r="G246"/>
  <c r="F245"/>
  <c r="F243" s="1"/>
  <c r="F244"/>
  <c r="J243"/>
  <c r="J239" s="1"/>
  <c r="I243"/>
  <c r="H243"/>
  <c r="G243"/>
  <c r="F242"/>
  <c r="F241"/>
  <c r="J240"/>
  <c r="I240"/>
  <c r="H240"/>
  <c r="G240"/>
  <c r="G239"/>
  <c r="G238" s="1"/>
  <c r="F237"/>
  <c r="F236"/>
  <c r="F235"/>
  <c r="F234"/>
  <c r="J233"/>
  <c r="I233"/>
  <c r="H233"/>
  <c r="G233"/>
  <c r="F232"/>
  <c r="F231"/>
  <c r="J230"/>
  <c r="I230"/>
  <c r="H230"/>
  <c r="H226" s="1"/>
  <c r="H225" s="1"/>
  <c r="G230"/>
  <c r="F229"/>
  <c r="F228"/>
  <c r="F227" s="1"/>
  <c r="J227"/>
  <c r="I227"/>
  <c r="H227"/>
  <c r="G227"/>
  <c r="G226" s="1"/>
  <c r="G225" s="1"/>
  <c r="J226"/>
  <c r="J225" s="1"/>
  <c r="F224"/>
  <c r="F223"/>
  <c r="F222"/>
  <c r="F221"/>
  <c r="J220"/>
  <c r="I220"/>
  <c r="H220"/>
  <c r="G220"/>
  <c r="F220"/>
  <c r="F219"/>
  <c r="F218"/>
  <c r="J217"/>
  <c r="I217"/>
  <c r="I213" s="1"/>
  <c r="I212" s="1"/>
  <c r="H217"/>
  <c r="G217"/>
  <c r="F216"/>
  <c r="F215"/>
  <c r="F214" s="1"/>
  <c r="J214"/>
  <c r="I214"/>
  <c r="H214"/>
  <c r="H213" s="1"/>
  <c r="G214"/>
  <c r="G213" s="1"/>
  <c r="G212" s="1"/>
  <c r="F209"/>
  <c r="F208"/>
  <c r="F207"/>
  <c r="F206"/>
  <c r="F205"/>
  <c r="J204"/>
  <c r="I204"/>
  <c r="H204"/>
  <c r="G204"/>
  <c r="F203"/>
  <c r="F202"/>
  <c r="J201"/>
  <c r="J197" s="1"/>
  <c r="J196" s="1"/>
  <c r="I201"/>
  <c r="H201"/>
  <c r="H197" s="1"/>
  <c r="G201"/>
  <c r="F201"/>
  <c r="F200"/>
  <c r="F199"/>
  <c r="F198" s="1"/>
  <c r="J198"/>
  <c r="I198"/>
  <c r="I197" s="1"/>
  <c r="I196" s="1"/>
  <c r="H198"/>
  <c r="G198"/>
  <c r="H196"/>
  <c r="F195"/>
  <c r="F194"/>
  <c r="F193"/>
  <c r="F192"/>
  <c r="F191"/>
  <c r="J190"/>
  <c r="I190"/>
  <c r="H190"/>
  <c r="G190"/>
  <c r="F189"/>
  <c r="F187" s="1"/>
  <c r="F188"/>
  <c r="J187"/>
  <c r="J183" s="1"/>
  <c r="I187"/>
  <c r="I183" s="1"/>
  <c r="I182" s="1"/>
  <c r="H187"/>
  <c r="G187"/>
  <c r="F186"/>
  <c r="F185"/>
  <c r="J184"/>
  <c r="I184"/>
  <c r="H184"/>
  <c r="H183" s="1"/>
  <c r="H182" s="1"/>
  <c r="G184"/>
  <c r="G183" s="1"/>
  <c r="G182"/>
  <c r="F181"/>
  <c r="F180"/>
  <c r="F179"/>
  <c r="F178"/>
  <c r="F177"/>
  <c r="J176"/>
  <c r="I176"/>
  <c r="H176"/>
  <c r="G176"/>
  <c r="F175"/>
  <c r="F174"/>
  <c r="J173"/>
  <c r="I173"/>
  <c r="H173"/>
  <c r="H169" s="1"/>
  <c r="H168" s="1"/>
  <c r="H166" s="1"/>
  <c r="G173"/>
  <c r="F172"/>
  <c r="F171"/>
  <c r="J170"/>
  <c r="J169" s="1"/>
  <c r="J168" s="1"/>
  <c r="I170"/>
  <c r="H170"/>
  <c r="G170"/>
  <c r="G169" s="1"/>
  <c r="G168" s="1"/>
  <c r="F170"/>
  <c r="F165"/>
  <c r="F164"/>
  <c r="F163"/>
  <c r="J162"/>
  <c r="I162"/>
  <c r="H162"/>
  <c r="G162"/>
  <c r="F161"/>
  <c r="F160"/>
  <c r="F159"/>
  <c r="J158"/>
  <c r="I158"/>
  <c r="H158"/>
  <c r="G158"/>
  <c r="F157"/>
  <c r="F156"/>
  <c r="F155"/>
  <c r="J154"/>
  <c r="I154"/>
  <c r="I153" s="1"/>
  <c r="I152" s="1"/>
  <c r="H154"/>
  <c r="G154"/>
  <c r="G153"/>
  <c r="G152" s="1"/>
  <c r="F151"/>
  <c r="F150"/>
  <c r="F149"/>
  <c r="J148"/>
  <c r="I148"/>
  <c r="H148"/>
  <c r="G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J129"/>
  <c r="I129"/>
  <c r="H129"/>
  <c r="G129"/>
  <c r="F128"/>
  <c r="F127"/>
  <c r="F126"/>
  <c r="F125"/>
  <c r="F124"/>
  <c r="F123"/>
  <c r="F122"/>
  <c r="F121"/>
  <c r="F120" s="1"/>
  <c r="J120"/>
  <c r="J119" s="1"/>
  <c r="J118" s="1"/>
  <c r="I120"/>
  <c r="H120"/>
  <c r="H119" s="1"/>
  <c r="H118" s="1"/>
  <c r="G120"/>
  <c r="I119"/>
  <c r="F117"/>
  <c r="F116"/>
  <c r="F115"/>
  <c r="J114"/>
  <c r="I114"/>
  <c r="H114"/>
  <c r="G114"/>
  <c r="F113"/>
  <c r="F112"/>
  <c r="F111"/>
  <c r="F110"/>
  <c r="F109"/>
  <c r="F108"/>
  <c r="F107"/>
  <c r="F106"/>
  <c r="F105"/>
  <c r="F104"/>
  <c r="F103"/>
  <c r="F102"/>
  <c r="F101"/>
  <c r="F100"/>
  <c r="J99"/>
  <c r="I99"/>
  <c r="H99"/>
  <c r="G99"/>
  <c r="F98"/>
  <c r="F97"/>
  <c r="F96"/>
  <c r="F95"/>
  <c r="F94"/>
  <c r="F93"/>
  <c r="F92"/>
  <c r="F90" s="1"/>
  <c r="F91"/>
  <c r="J90"/>
  <c r="J89" s="1"/>
  <c r="I90"/>
  <c r="I89" s="1"/>
  <c r="I88" s="1"/>
  <c r="H90"/>
  <c r="H89" s="1"/>
  <c r="H88" s="1"/>
  <c r="G90"/>
  <c r="G89"/>
  <c r="F87"/>
  <c r="F86"/>
  <c r="F85"/>
  <c r="J84"/>
  <c r="I84"/>
  <c r="H84"/>
  <c r="G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 s="1"/>
  <c r="J57"/>
  <c r="I57"/>
  <c r="H57"/>
  <c r="G57"/>
  <c r="G45" s="1"/>
  <c r="G44" s="1"/>
  <c r="F56"/>
  <c r="F55"/>
  <c r="F54"/>
  <c r="F53"/>
  <c r="F52"/>
  <c r="F51"/>
  <c r="F50"/>
  <c r="F49"/>
  <c r="F46" s="1"/>
  <c r="F48"/>
  <c r="F47"/>
  <c r="J46"/>
  <c r="J45" s="1"/>
  <c r="J44" s="1"/>
  <c r="I46"/>
  <c r="H46"/>
  <c r="G46"/>
  <c r="I45"/>
  <c r="I44" s="1"/>
  <c r="F43"/>
  <c r="F41"/>
  <c r="F40" s="1"/>
  <c r="J40"/>
  <c r="I40"/>
  <c r="H40"/>
  <c r="G40"/>
  <c r="F39"/>
  <c r="F38"/>
  <c r="F37"/>
  <c r="J36"/>
  <c r="J31" s="1"/>
  <c r="I36"/>
  <c r="H36"/>
  <c r="G36"/>
  <c r="F35"/>
  <c r="F34"/>
  <c r="F33"/>
  <c r="J32"/>
  <c r="I32"/>
  <c r="H32"/>
  <c r="G32"/>
  <c r="H31"/>
  <c r="H30" s="1"/>
  <c r="G31"/>
  <c r="F29"/>
  <c r="F28"/>
  <c r="F27"/>
  <c r="F26"/>
  <c r="F25"/>
  <c r="F24"/>
  <c r="F23"/>
  <c r="F22"/>
  <c r="F21"/>
  <c r="F20"/>
  <c r="F19"/>
  <c r="F18"/>
  <c r="F17"/>
  <c r="J16"/>
  <c r="I16"/>
  <c r="I9" s="1"/>
  <c r="H16"/>
  <c r="G16"/>
  <c r="F15"/>
  <c r="F14"/>
  <c r="F13"/>
  <c r="F12"/>
  <c r="F11"/>
  <c r="J10"/>
  <c r="I10"/>
  <c r="H10"/>
  <c r="G10"/>
  <c r="G9" s="1"/>
  <c r="H9"/>
  <c r="F799" i="52"/>
  <c r="F798"/>
  <c r="J797"/>
  <c r="I797"/>
  <c r="H797"/>
  <c r="G797"/>
  <c r="F796"/>
  <c r="F795"/>
  <c r="F794"/>
  <c r="F793"/>
  <c r="F792"/>
  <c r="F791"/>
  <c r="F790"/>
  <c r="F789"/>
  <c r="F788"/>
  <c r="F787"/>
  <c r="F786" s="1"/>
  <c r="J786"/>
  <c r="I786"/>
  <c r="H786"/>
  <c r="G786"/>
  <c r="F785"/>
  <c r="F784"/>
  <c r="F783"/>
  <c r="F782"/>
  <c r="F781"/>
  <c r="F780"/>
  <c r="F779"/>
  <c r="F778"/>
  <c r="F775" s="1"/>
  <c r="F777"/>
  <c r="F776"/>
  <c r="J775"/>
  <c r="J771" s="1"/>
  <c r="J770" s="1"/>
  <c r="I775"/>
  <c r="H775"/>
  <c r="G775"/>
  <c r="F774"/>
  <c r="F772" s="1"/>
  <c r="F773"/>
  <c r="J772"/>
  <c r="I772"/>
  <c r="H772"/>
  <c r="H771" s="1"/>
  <c r="G772"/>
  <c r="J768"/>
  <c r="I768"/>
  <c r="H768"/>
  <c r="G768"/>
  <c r="F768"/>
  <c r="F767"/>
  <c r="J766"/>
  <c r="I766"/>
  <c r="H766"/>
  <c r="G766"/>
  <c r="G763" s="1"/>
  <c r="G762" s="1"/>
  <c r="F766"/>
  <c r="F765"/>
  <c r="J764"/>
  <c r="I764"/>
  <c r="H764"/>
  <c r="G764"/>
  <c r="F764"/>
  <c r="F763" s="1"/>
  <c r="F762" s="1"/>
  <c r="I763"/>
  <c r="I762" s="1"/>
  <c r="F761"/>
  <c r="F760"/>
  <c r="F759" s="1"/>
  <c r="J759"/>
  <c r="I759"/>
  <c r="H759"/>
  <c r="G759"/>
  <c r="F758"/>
  <c r="F757"/>
  <c r="F756" s="1"/>
  <c r="J756"/>
  <c r="I756"/>
  <c r="H756"/>
  <c r="G756"/>
  <c r="F755"/>
  <c r="F754"/>
  <c r="F753"/>
  <c r="F752"/>
  <c r="F751"/>
  <c r="F750"/>
  <c r="F749"/>
  <c r="F748"/>
  <c r="J747"/>
  <c r="I747"/>
  <c r="I746" s="1"/>
  <c r="I745" s="1"/>
  <c r="H747"/>
  <c r="G747"/>
  <c r="J746"/>
  <c r="J745" s="1"/>
  <c r="H746"/>
  <c r="H745" s="1"/>
  <c r="F744"/>
  <c r="F743"/>
  <c r="J742"/>
  <c r="I742"/>
  <c r="H742"/>
  <c r="G742"/>
  <c r="F742"/>
  <c r="F741"/>
  <c r="F740"/>
  <c r="F739"/>
  <c r="F738"/>
  <c r="F735" s="1"/>
  <c r="F737"/>
  <c r="F736"/>
  <c r="J735"/>
  <c r="I735"/>
  <c r="H735"/>
  <c r="G735"/>
  <c r="F734"/>
  <c r="F733"/>
  <c r="F732"/>
  <c r="F731"/>
  <c r="F730"/>
  <c r="F729"/>
  <c r="F726" s="1"/>
  <c r="F725" s="1"/>
  <c r="F724" s="1"/>
  <c r="F728"/>
  <c r="F727"/>
  <c r="J726"/>
  <c r="J725" s="1"/>
  <c r="I726"/>
  <c r="H726"/>
  <c r="G726"/>
  <c r="G725" s="1"/>
  <c r="H725"/>
  <c r="H724" s="1"/>
  <c r="F721"/>
  <c r="F719" s="1"/>
  <c r="F720"/>
  <c r="J719"/>
  <c r="I719"/>
  <c r="H719"/>
  <c r="G719"/>
  <c r="F718"/>
  <c r="F717"/>
  <c r="J716"/>
  <c r="I716"/>
  <c r="H716"/>
  <c r="G716"/>
  <c r="F715"/>
  <c r="F714"/>
  <c r="F713"/>
  <c r="F712"/>
  <c r="F711"/>
  <c r="F710"/>
  <c r="J709"/>
  <c r="I709"/>
  <c r="H709"/>
  <c r="G709"/>
  <c r="I708"/>
  <c r="I707" s="1"/>
  <c r="F706"/>
  <c r="F705"/>
  <c r="F704" s="1"/>
  <c r="J704"/>
  <c r="I704"/>
  <c r="H704"/>
  <c r="G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J675"/>
  <c r="I675"/>
  <c r="H675"/>
  <c r="G675"/>
  <c r="F674"/>
  <c r="F673"/>
  <c r="F672"/>
  <c r="F671"/>
  <c r="F670"/>
  <c r="F669"/>
  <c r="F668"/>
  <c r="F667"/>
  <c r="F666"/>
  <c r="F665"/>
  <c r="J664"/>
  <c r="I664"/>
  <c r="H664"/>
  <c r="G664"/>
  <c r="J663"/>
  <c r="J662"/>
  <c r="F661"/>
  <c r="F660" s="1"/>
  <c r="J660"/>
  <c r="I660"/>
  <c r="H660"/>
  <c r="G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39" s="1"/>
  <c r="F640"/>
  <c r="J639"/>
  <c r="I639"/>
  <c r="H639"/>
  <c r="G639"/>
  <c r="F638"/>
  <c r="F637"/>
  <c r="F636"/>
  <c r="F635"/>
  <c r="F634"/>
  <c r="F633"/>
  <c r="F632"/>
  <c r="F631"/>
  <c r="F630"/>
  <c r="F629"/>
  <c r="J628"/>
  <c r="J625" s="1"/>
  <c r="J624" s="1"/>
  <c r="I628"/>
  <c r="H628"/>
  <c r="H625" s="1"/>
  <c r="H624" s="1"/>
  <c r="G628"/>
  <c r="F627"/>
  <c r="F626" s="1"/>
  <c r="J626"/>
  <c r="I626"/>
  <c r="I625" s="1"/>
  <c r="I624" s="1"/>
  <c r="H626"/>
  <c r="G626"/>
  <c r="G625" s="1"/>
  <c r="F621"/>
  <c r="F620"/>
  <c r="J619"/>
  <c r="I619"/>
  <c r="H619"/>
  <c r="G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J591"/>
  <c r="I591"/>
  <c r="H591"/>
  <c r="G591"/>
  <c r="G574" s="1"/>
  <c r="G573" s="1"/>
  <c r="F590"/>
  <c r="F589"/>
  <c r="F588"/>
  <c r="F587"/>
  <c r="F586"/>
  <c r="F585"/>
  <c r="F584"/>
  <c r="F583"/>
  <c r="F582"/>
  <c r="F581"/>
  <c r="J580"/>
  <c r="I580"/>
  <c r="H580"/>
  <c r="G580"/>
  <c r="F579"/>
  <c r="F578"/>
  <c r="F575" s="1"/>
  <c r="F577"/>
  <c r="F576"/>
  <c r="J575"/>
  <c r="J574" s="1"/>
  <c r="J573" s="1"/>
  <c r="I575"/>
  <c r="H575"/>
  <c r="G575"/>
  <c r="I574"/>
  <c r="F572"/>
  <c r="F571"/>
  <c r="F570" s="1"/>
  <c r="J570"/>
  <c r="I570"/>
  <c r="H570"/>
  <c r="G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J547"/>
  <c r="I547"/>
  <c r="H547"/>
  <c r="G547"/>
  <c r="F546"/>
  <c r="F545"/>
  <c r="F544"/>
  <c r="F543"/>
  <c r="F542"/>
  <c r="F541"/>
  <c r="F540"/>
  <c r="F539"/>
  <c r="J538"/>
  <c r="J534" s="1"/>
  <c r="J533" s="1"/>
  <c r="I538"/>
  <c r="I534" s="1"/>
  <c r="I533" s="1"/>
  <c r="H538"/>
  <c r="G538"/>
  <c r="F537"/>
  <c r="F535" s="1"/>
  <c r="F536"/>
  <c r="J535"/>
  <c r="I535"/>
  <c r="H535"/>
  <c r="H534" s="1"/>
  <c r="H533" s="1"/>
  <c r="G535"/>
  <c r="F532"/>
  <c r="F531"/>
  <c r="F530" s="1"/>
  <c r="J530"/>
  <c r="I530"/>
  <c r="H530"/>
  <c r="G530"/>
  <c r="F529"/>
  <c r="F527" s="1"/>
  <c r="F528"/>
  <c r="J527"/>
  <c r="J523" s="1"/>
  <c r="I527"/>
  <c r="H527"/>
  <c r="H523" s="1"/>
  <c r="H522" s="1"/>
  <c r="G527"/>
  <c r="F526"/>
  <c r="F525"/>
  <c r="F524" s="1"/>
  <c r="J524"/>
  <c r="I524"/>
  <c r="H524"/>
  <c r="G524"/>
  <c r="G523" s="1"/>
  <c r="G522" s="1"/>
  <c r="F521"/>
  <c r="F520"/>
  <c r="F519"/>
  <c r="F518"/>
  <c r="J517"/>
  <c r="I517"/>
  <c r="H517"/>
  <c r="G517"/>
  <c r="F516"/>
  <c r="F515"/>
  <c r="F514"/>
  <c r="F513"/>
  <c r="F512"/>
  <c r="F511"/>
  <c r="F510"/>
  <c r="F509"/>
  <c r="F508"/>
  <c r="F507"/>
  <c r="F506"/>
  <c r="F505"/>
  <c r="F504"/>
  <c r="F503"/>
  <c r="F502"/>
  <c r="F501"/>
  <c r="J500"/>
  <c r="I500"/>
  <c r="H500"/>
  <c r="G500"/>
  <c r="J499"/>
  <c r="I499"/>
  <c r="H499"/>
  <c r="F496"/>
  <c r="F495"/>
  <c r="F494"/>
  <c r="J493"/>
  <c r="I493"/>
  <c r="H493"/>
  <c r="G493"/>
  <c r="F492"/>
  <c r="F491"/>
  <c r="J490"/>
  <c r="J486" s="1"/>
  <c r="J485" s="1"/>
  <c r="I490"/>
  <c r="H490"/>
  <c r="G490"/>
  <c r="F490"/>
  <c r="F489"/>
  <c r="F488"/>
  <c r="J487"/>
  <c r="I487"/>
  <c r="I486" s="1"/>
  <c r="I485" s="1"/>
  <c r="H487"/>
  <c r="G487"/>
  <c r="H486"/>
  <c r="F484"/>
  <c r="F483"/>
  <c r="F482"/>
  <c r="F481"/>
  <c r="J480"/>
  <c r="I480"/>
  <c r="H480"/>
  <c r="G480"/>
  <c r="F479"/>
  <c r="F477" s="1"/>
  <c r="F478"/>
  <c r="J477"/>
  <c r="I477"/>
  <c r="H477"/>
  <c r="G477"/>
  <c r="F476"/>
  <c r="F475"/>
  <c r="J474"/>
  <c r="I474"/>
  <c r="H474"/>
  <c r="H473" s="1"/>
  <c r="G474"/>
  <c r="G473" s="1"/>
  <c r="G472" s="1"/>
  <c r="J473"/>
  <c r="J472" s="1"/>
  <c r="F471"/>
  <c r="F470"/>
  <c r="F469"/>
  <c r="F468"/>
  <c r="J467"/>
  <c r="I467"/>
  <c r="H467"/>
  <c r="G467"/>
  <c r="F466"/>
  <c r="F464" s="1"/>
  <c r="F465"/>
  <c r="J464"/>
  <c r="I464"/>
  <c r="H464"/>
  <c r="H460" s="1"/>
  <c r="H459" s="1"/>
  <c r="G464"/>
  <c r="F463"/>
  <c r="F462"/>
  <c r="J461"/>
  <c r="I461"/>
  <c r="I460" s="1"/>
  <c r="H461"/>
  <c r="G461"/>
  <c r="G460"/>
  <c r="G459" s="1"/>
  <c r="I459"/>
  <c r="F458"/>
  <c r="F457"/>
  <c r="F456"/>
  <c r="F455"/>
  <c r="J454"/>
  <c r="I454"/>
  <c r="H454"/>
  <c r="G454"/>
  <c r="F453"/>
  <c r="F452"/>
  <c r="J451"/>
  <c r="I451"/>
  <c r="I447" s="1"/>
  <c r="H451"/>
  <c r="G451"/>
  <c r="F450"/>
  <c r="F449"/>
  <c r="J448"/>
  <c r="I448"/>
  <c r="H448"/>
  <c r="G448"/>
  <c r="I446"/>
  <c r="F445"/>
  <c r="F444"/>
  <c r="F442" s="1"/>
  <c r="F443"/>
  <c r="J442"/>
  <c r="I442"/>
  <c r="H442"/>
  <c r="G442"/>
  <c r="F441"/>
  <c r="F440"/>
  <c r="J439"/>
  <c r="I439"/>
  <c r="H439"/>
  <c r="G439"/>
  <c r="G435" s="1"/>
  <c r="G434" s="1"/>
  <c r="F438"/>
  <c r="F436" s="1"/>
  <c r="F437"/>
  <c r="J436"/>
  <c r="I436"/>
  <c r="H436"/>
  <c r="G436"/>
  <c r="I435"/>
  <c r="I434" s="1"/>
  <c r="F433"/>
  <c r="F432"/>
  <c r="F431"/>
  <c r="F430"/>
  <c r="J429"/>
  <c r="I429"/>
  <c r="H429"/>
  <c r="G429"/>
  <c r="F428"/>
  <c r="F427"/>
  <c r="J426"/>
  <c r="J422" s="1"/>
  <c r="J421" s="1"/>
  <c r="I426"/>
  <c r="H426"/>
  <c r="G426"/>
  <c r="F425"/>
  <c r="F424"/>
  <c r="J423"/>
  <c r="I423"/>
  <c r="H423"/>
  <c r="G423"/>
  <c r="F420"/>
  <c r="F419"/>
  <c r="F418"/>
  <c r="F417"/>
  <c r="J416"/>
  <c r="I416"/>
  <c r="H416"/>
  <c r="G416"/>
  <c r="F415"/>
  <c r="F414"/>
  <c r="J413"/>
  <c r="I413"/>
  <c r="H413"/>
  <c r="G413"/>
  <c r="F412"/>
  <c r="F411"/>
  <c r="J410"/>
  <c r="J409" s="1"/>
  <c r="J408" s="1"/>
  <c r="I410"/>
  <c r="H410"/>
  <c r="G410"/>
  <c r="F410"/>
  <c r="F405"/>
  <c r="F404"/>
  <c r="F403"/>
  <c r="F402"/>
  <c r="F401"/>
  <c r="J400"/>
  <c r="I400"/>
  <c r="H400"/>
  <c r="G400"/>
  <c r="F399"/>
  <c r="F398"/>
  <c r="J397"/>
  <c r="J393" s="1"/>
  <c r="J392" s="1"/>
  <c r="I397"/>
  <c r="H397"/>
  <c r="G397"/>
  <c r="F397"/>
  <c r="F396"/>
  <c r="F395"/>
  <c r="F394" s="1"/>
  <c r="J394"/>
  <c r="I394"/>
  <c r="I393" s="1"/>
  <c r="I392" s="1"/>
  <c r="H394"/>
  <c r="G394"/>
  <c r="H393"/>
  <c r="H392" s="1"/>
  <c r="F391"/>
  <c r="F390"/>
  <c r="F389"/>
  <c r="F388"/>
  <c r="F387"/>
  <c r="J386"/>
  <c r="I386"/>
  <c r="H386"/>
  <c r="G386"/>
  <c r="F385"/>
  <c r="F384"/>
  <c r="F383" s="1"/>
  <c r="J383"/>
  <c r="I383"/>
  <c r="H383"/>
  <c r="H379" s="1"/>
  <c r="G383"/>
  <c r="F382"/>
  <c r="F381"/>
  <c r="F380" s="1"/>
  <c r="F379" s="1"/>
  <c r="J380"/>
  <c r="J379" s="1"/>
  <c r="J378" s="1"/>
  <c r="I380"/>
  <c r="H380"/>
  <c r="G380"/>
  <c r="G379" s="1"/>
  <c r="G378" s="1"/>
  <c r="F377"/>
  <c r="F376"/>
  <c r="F375"/>
  <c r="F374"/>
  <c r="F372" s="1"/>
  <c r="F373"/>
  <c r="J372"/>
  <c r="I372"/>
  <c r="H372"/>
  <c r="G372"/>
  <c r="F371"/>
  <c r="F370"/>
  <c r="F369" s="1"/>
  <c r="J369"/>
  <c r="I369"/>
  <c r="I365" s="1"/>
  <c r="I364" s="1"/>
  <c r="H369"/>
  <c r="G369"/>
  <c r="F368"/>
  <c r="F367"/>
  <c r="J366"/>
  <c r="I366"/>
  <c r="H366"/>
  <c r="H365" s="1"/>
  <c r="G366"/>
  <c r="J365"/>
  <c r="J364"/>
  <c r="F363"/>
  <c r="F362"/>
  <c r="F361"/>
  <c r="F360"/>
  <c r="F359"/>
  <c r="J358"/>
  <c r="I358"/>
  <c r="H358"/>
  <c r="G358"/>
  <c r="F357"/>
  <c r="F356"/>
  <c r="J355"/>
  <c r="I355"/>
  <c r="H355"/>
  <c r="G355"/>
  <c r="F354"/>
  <c r="F353"/>
  <c r="F352" s="1"/>
  <c r="J352"/>
  <c r="I352"/>
  <c r="I351" s="1"/>
  <c r="H352"/>
  <c r="G352"/>
  <c r="F347"/>
  <c r="F346"/>
  <c r="J345"/>
  <c r="I345"/>
  <c r="H345"/>
  <c r="G345"/>
  <c r="F344"/>
  <c r="F343"/>
  <c r="F342"/>
  <c r="F341"/>
  <c r="F340"/>
  <c r="F339"/>
  <c r="J338"/>
  <c r="I338"/>
  <c r="H338"/>
  <c r="G338"/>
  <c r="F337"/>
  <c r="F336"/>
  <c r="F335"/>
  <c r="F334"/>
  <c r="F333"/>
  <c r="F332"/>
  <c r="F331"/>
  <c r="F330"/>
  <c r="J329"/>
  <c r="I329"/>
  <c r="I328" s="1"/>
  <c r="I327" s="1"/>
  <c r="H329"/>
  <c r="H328" s="1"/>
  <c r="H327" s="1"/>
  <c r="G329"/>
  <c r="F326"/>
  <c r="F325"/>
  <c r="F324"/>
  <c r="J323"/>
  <c r="I323"/>
  <c r="H323"/>
  <c r="G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 s="1"/>
  <c r="J303"/>
  <c r="I303"/>
  <c r="H303"/>
  <c r="G303"/>
  <c r="F302"/>
  <c r="F301"/>
  <c r="F300"/>
  <c r="F299"/>
  <c r="F298"/>
  <c r="F297"/>
  <c r="F296"/>
  <c r="F295"/>
  <c r="F294"/>
  <c r="F293"/>
  <c r="J292"/>
  <c r="I292"/>
  <c r="H292"/>
  <c r="H291" s="1"/>
  <c r="G292"/>
  <c r="J291"/>
  <c r="J290" s="1"/>
  <c r="H290"/>
  <c r="F289"/>
  <c r="F288"/>
  <c r="F287"/>
  <c r="J286"/>
  <c r="I286"/>
  <c r="H286"/>
  <c r="G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59" s="1"/>
  <c r="F260"/>
  <c r="J259"/>
  <c r="J247" s="1"/>
  <c r="I259"/>
  <c r="H259"/>
  <c r="G259"/>
  <c r="F258"/>
  <c r="F257"/>
  <c r="F256"/>
  <c r="F255"/>
  <c r="F254"/>
  <c r="F253"/>
  <c r="F252"/>
  <c r="F251"/>
  <c r="F250"/>
  <c r="F249"/>
  <c r="J248"/>
  <c r="I248"/>
  <c r="I247" s="1"/>
  <c r="I246" s="1"/>
  <c r="H248"/>
  <c r="G248"/>
  <c r="G247" s="1"/>
  <c r="G246" s="1"/>
  <c r="F245"/>
  <c r="F244"/>
  <c r="F243"/>
  <c r="J242"/>
  <c r="I242"/>
  <c r="H242"/>
  <c r="G242"/>
  <c r="F241"/>
  <c r="F240"/>
  <c r="J239"/>
  <c r="I239"/>
  <c r="H239"/>
  <c r="G239"/>
  <c r="F238"/>
  <c r="F236" s="1"/>
  <c r="F237"/>
  <c r="J236"/>
  <c r="I236"/>
  <c r="H236"/>
  <c r="H235" s="1"/>
  <c r="G236"/>
  <c r="F233"/>
  <c r="F232"/>
  <c r="F231"/>
  <c r="F230"/>
  <c r="J229"/>
  <c r="I229"/>
  <c r="H229"/>
  <c r="G229"/>
  <c r="F228"/>
  <c r="F227"/>
  <c r="J226"/>
  <c r="J222" s="1"/>
  <c r="J221" s="1"/>
  <c r="I226"/>
  <c r="H226"/>
  <c r="G226"/>
  <c r="F225"/>
  <c r="F224"/>
  <c r="F223" s="1"/>
  <c r="J223"/>
  <c r="I223"/>
  <c r="I222" s="1"/>
  <c r="I221" s="1"/>
  <c r="H223"/>
  <c r="G223"/>
  <c r="F220"/>
  <c r="F219"/>
  <c r="F218"/>
  <c r="J217"/>
  <c r="I217"/>
  <c r="H217"/>
  <c r="G217"/>
  <c r="F216"/>
  <c r="F215"/>
  <c r="J214"/>
  <c r="J210" s="1"/>
  <c r="J209" s="1"/>
  <c r="I214"/>
  <c r="H214"/>
  <c r="G214"/>
  <c r="F214"/>
  <c r="F213"/>
  <c r="F212"/>
  <c r="F211" s="1"/>
  <c r="J211"/>
  <c r="I211"/>
  <c r="I210" s="1"/>
  <c r="I209" s="1"/>
  <c r="H211"/>
  <c r="G211"/>
  <c r="H210"/>
  <c r="G210"/>
  <c r="G209" s="1"/>
  <c r="F208"/>
  <c r="F207"/>
  <c r="J206"/>
  <c r="J188" s="1"/>
  <c r="I206"/>
  <c r="H206"/>
  <c r="G206"/>
  <c r="F206"/>
  <c r="F205"/>
  <c r="F204"/>
  <c r="F203"/>
  <c r="F202"/>
  <c r="F199" s="1"/>
  <c r="F201"/>
  <c r="F200"/>
  <c r="J199"/>
  <c r="I199"/>
  <c r="H199"/>
  <c r="G199"/>
  <c r="F198"/>
  <c r="F197"/>
  <c r="F196"/>
  <c r="F195"/>
  <c r="F194"/>
  <c r="F193"/>
  <c r="F192"/>
  <c r="F191"/>
  <c r="J190"/>
  <c r="J189" s="1"/>
  <c r="I190"/>
  <c r="I189" s="1"/>
  <c r="I188" s="1"/>
  <c r="H190"/>
  <c r="G190"/>
  <c r="H189"/>
  <c r="G189"/>
  <c r="G188" s="1"/>
  <c r="H188"/>
  <c r="F187"/>
  <c r="F186"/>
  <c r="F185" s="1"/>
  <c r="J185"/>
  <c r="I185"/>
  <c r="H185"/>
  <c r="G185"/>
  <c r="G167" s="1"/>
  <c r="F184"/>
  <c r="F183"/>
  <c r="F182"/>
  <c r="F181"/>
  <c r="F180"/>
  <c r="F179"/>
  <c r="J178"/>
  <c r="I178"/>
  <c r="H178"/>
  <c r="G178"/>
  <c r="F177"/>
  <c r="F176"/>
  <c r="F175"/>
  <c r="F174"/>
  <c r="F173"/>
  <c r="F172"/>
  <c r="F171"/>
  <c r="F170"/>
  <c r="J169"/>
  <c r="I169"/>
  <c r="H169"/>
  <c r="G169"/>
  <c r="G168" s="1"/>
  <c r="J168"/>
  <c r="J167" s="1"/>
  <c r="I168"/>
  <c r="H168"/>
  <c r="F166"/>
  <c r="F165"/>
  <c r="F164" s="1"/>
  <c r="J164"/>
  <c r="I164"/>
  <c r="H164"/>
  <c r="G164"/>
  <c r="F163"/>
  <c r="F162"/>
  <c r="F161"/>
  <c r="F160"/>
  <c r="F159"/>
  <c r="F158"/>
  <c r="J157"/>
  <c r="I157"/>
  <c r="H157"/>
  <c r="G157"/>
  <c r="F156"/>
  <c r="F155"/>
  <c r="F154"/>
  <c r="F153"/>
  <c r="F152"/>
  <c r="F151"/>
  <c r="F150"/>
  <c r="F149"/>
  <c r="J148"/>
  <c r="I148"/>
  <c r="H148"/>
  <c r="G148"/>
  <c r="F147"/>
  <c r="F146"/>
  <c r="J145"/>
  <c r="I145"/>
  <c r="H145"/>
  <c r="G145"/>
  <c r="J144"/>
  <c r="J143" s="1"/>
  <c r="F142"/>
  <c r="F140" s="1"/>
  <c r="F141"/>
  <c r="J140"/>
  <c r="I140"/>
  <c r="H140"/>
  <c r="G140"/>
  <c r="F139"/>
  <c r="F138"/>
  <c r="J137"/>
  <c r="I137"/>
  <c r="H137"/>
  <c r="G137"/>
  <c r="F136"/>
  <c r="F135"/>
  <c r="F134"/>
  <c r="F132" s="1"/>
  <c r="F133"/>
  <c r="J132"/>
  <c r="I132"/>
  <c r="H132"/>
  <c r="H131" s="1"/>
  <c r="G132"/>
  <c r="J131"/>
  <c r="I131"/>
  <c r="J130"/>
  <c r="F129"/>
  <c r="F128"/>
  <c r="F127" s="1"/>
  <c r="J127"/>
  <c r="I127"/>
  <c r="H127"/>
  <c r="G127"/>
  <c r="F126"/>
  <c r="F125"/>
  <c r="F124"/>
  <c r="F123"/>
  <c r="J122"/>
  <c r="I122"/>
  <c r="H122"/>
  <c r="G122"/>
  <c r="F121"/>
  <c r="J120"/>
  <c r="J119" s="1"/>
  <c r="J118" s="1"/>
  <c r="I120"/>
  <c r="H120"/>
  <c r="G120"/>
  <c r="F120"/>
  <c r="G119"/>
  <c r="G118" s="1"/>
  <c r="F117"/>
  <c r="F116"/>
  <c r="F115" s="1"/>
  <c r="J115"/>
  <c r="I115"/>
  <c r="H115"/>
  <c r="G115"/>
  <c r="F114"/>
  <c r="F113"/>
  <c r="J112"/>
  <c r="J108" s="1"/>
  <c r="J107" s="1"/>
  <c r="I112"/>
  <c r="H112"/>
  <c r="G112"/>
  <c r="F111"/>
  <c r="F110"/>
  <c r="J109"/>
  <c r="I109"/>
  <c r="H109"/>
  <c r="H108" s="1"/>
  <c r="H107" s="1"/>
  <c r="G109"/>
  <c r="F106"/>
  <c r="F105" s="1"/>
  <c r="J105"/>
  <c r="I105"/>
  <c r="H105"/>
  <c r="G105"/>
  <c r="F104"/>
  <c r="F103"/>
  <c r="F102"/>
  <c r="F101"/>
  <c r="F100"/>
  <c r="F99"/>
  <c r="F98"/>
  <c r="F97"/>
  <c r="J96"/>
  <c r="J92" s="1"/>
  <c r="J91" s="1"/>
  <c r="I96"/>
  <c r="H96"/>
  <c r="G96"/>
  <c r="F95"/>
  <c r="F94"/>
  <c r="J93"/>
  <c r="I93"/>
  <c r="H93"/>
  <c r="H92" s="1"/>
  <c r="H91" s="1"/>
  <c r="G93"/>
  <c r="F90"/>
  <c r="F88" s="1"/>
  <c r="F89"/>
  <c r="J88"/>
  <c r="I88"/>
  <c r="H88"/>
  <c r="G88"/>
  <c r="F87"/>
  <c r="F86"/>
  <c r="F85" s="1"/>
  <c r="J85"/>
  <c r="J80" s="1"/>
  <c r="J79" s="1"/>
  <c r="I85"/>
  <c r="H85"/>
  <c r="G85"/>
  <c r="F84"/>
  <c r="F83"/>
  <c r="F82"/>
  <c r="J81"/>
  <c r="I81"/>
  <c r="H81"/>
  <c r="G81"/>
  <c r="H80"/>
  <c r="F78"/>
  <c r="F77"/>
  <c r="J76"/>
  <c r="I76"/>
  <c r="H76"/>
  <c r="G76"/>
  <c r="F76"/>
  <c r="F75"/>
  <c r="F72" s="1"/>
  <c r="F74"/>
  <c r="F73"/>
  <c r="J72"/>
  <c r="I72"/>
  <c r="H72"/>
  <c r="G72"/>
  <c r="F71"/>
  <c r="F68" s="1"/>
  <c r="F70"/>
  <c r="F69"/>
  <c r="J68"/>
  <c r="J67" s="1"/>
  <c r="J66" s="1"/>
  <c r="I68"/>
  <c r="I67" s="1"/>
  <c r="I66" s="1"/>
  <c r="H68"/>
  <c r="H67" s="1"/>
  <c r="G68"/>
  <c r="G67"/>
  <c r="G66" s="1"/>
  <c r="H66"/>
  <c r="F65"/>
  <c r="F64"/>
  <c r="J63"/>
  <c r="I63"/>
  <c r="H63"/>
  <c r="G63"/>
  <c r="F62"/>
  <c r="F61"/>
  <c r="J60"/>
  <c r="J56" s="1"/>
  <c r="J55" s="1"/>
  <c r="I60"/>
  <c r="H60"/>
  <c r="H56" s="1"/>
  <c r="G60"/>
  <c r="F60"/>
  <c r="F59"/>
  <c r="F58"/>
  <c r="F57" s="1"/>
  <c r="J57"/>
  <c r="I57"/>
  <c r="H57"/>
  <c r="G57"/>
  <c r="I56"/>
  <c r="I55" s="1"/>
  <c r="F54"/>
  <c r="F53"/>
  <c r="F52"/>
  <c r="J51"/>
  <c r="I51"/>
  <c r="H51"/>
  <c r="G51"/>
  <c r="F50"/>
  <c r="F49"/>
  <c r="J48"/>
  <c r="I48"/>
  <c r="H48"/>
  <c r="G48"/>
  <c r="F47"/>
  <c r="F46"/>
  <c r="J45"/>
  <c r="I45"/>
  <c r="H45"/>
  <c r="G45"/>
  <c r="J44"/>
  <c r="J43"/>
  <c r="F42"/>
  <c r="F40" s="1"/>
  <c r="F41"/>
  <c r="J40"/>
  <c r="I40"/>
  <c r="H40"/>
  <c r="G40"/>
  <c r="F39"/>
  <c r="F38"/>
  <c r="F37" s="1"/>
  <c r="J37"/>
  <c r="I37"/>
  <c r="H37"/>
  <c r="H33" s="1"/>
  <c r="G37"/>
  <c r="G33" s="1"/>
  <c r="G32" s="1"/>
  <c r="F36"/>
  <c r="F35"/>
  <c r="J34"/>
  <c r="J33" s="1"/>
  <c r="J32" s="1"/>
  <c r="I34"/>
  <c r="H34"/>
  <c r="G34"/>
  <c r="F34"/>
  <c r="I33"/>
  <c r="I32" s="1"/>
  <c r="F31"/>
  <c r="F30"/>
  <c r="F29"/>
  <c r="F28"/>
  <c r="F27"/>
  <c r="F26"/>
  <c r="F25"/>
  <c r="F24"/>
  <c r="F23"/>
  <c r="F22"/>
  <c r="F21"/>
  <c r="F20"/>
  <c r="F19"/>
  <c r="F18"/>
  <c r="J17"/>
  <c r="I17"/>
  <c r="H17"/>
  <c r="H10" s="1"/>
  <c r="G17"/>
  <c r="F16"/>
  <c r="F15"/>
  <c r="F14"/>
  <c r="F13"/>
  <c r="F12"/>
  <c r="J11"/>
  <c r="J10" s="1"/>
  <c r="I11"/>
  <c r="H11"/>
  <c r="G11"/>
  <c r="F11"/>
  <c r="F67" l="1"/>
  <c r="F66" s="1"/>
  <c r="H234"/>
  <c r="I350"/>
  <c r="I348" s="1"/>
  <c r="F523"/>
  <c r="F522" s="1"/>
  <c r="G119" i="53"/>
  <c r="G118" s="1"/>
  <c r="I251"/>
  <c r="F48" i="52"/>
  <c r="H209"/>
  <c r="I725"/>
  <c r="I724" s="1"/>
  <c r="I722" s="1"/>
  <c r="I771"/>
  <c r="I770" s="1"/>
  <c r="F354" i="53"/>
  <c r="F51" i="52"/>
  <c r="F81"/>
  <c r="F80" s="1"/>
  <c r="H130"/>
  <c r="H144"/>
  <c r="H143" s="1"/>
  <c r="G222"/>
  <c r="G221" s="1"/>
  <c r="F229"/>
  <c r="J235"/>
  <c r="J234" s="1"/>
  <c r="J8" s="1"/>
  <c r="J246"/>
  <c r="G291"/>
  <c r="G290" s="1"/>
  <c r="G351"/>
  <c r="G350" s="1"/>
  <c r="G365"/>
  <c r="G364" s="1"/>
  <c r="F409"/>
  <c r="F429"/>
  <c r="J435"/>
  <c r="J434" s="1"/>
  <c r="H435"/>
  <c r="H434" s="1"/>
  <c r="I523"/>
  <c r="I522" s="1"/>
  <c r="J522"/>
  <c r="J497" s="1"/>
  <c r="G663"/>
  <c r="G662" s="1"/>
  <c r="F664"/>
  <c r="I663"/>
  <c r="I662" s="1"/>
  <c r="I622"/>
  <c r="J724"/>
  <c r="H763"/>
  <c r="H762" s="1"/>
  <c r="F148" i="53"/>
  <c r="J153"/>
  <c r="J152" s="1"/>
  <c r="F162"/>
  <c r="I310"/>
  <c r="I309" s="1"/>
  <c r="H44" i="52"/>
  <c r="H43" s="1"/>
  <c r="G56"/>
  <c r="G55" s="1"/>
  <c r="F56"/>
  <c r="F55" s="1"/>
  <c r="H55"/>
  <c r="G108"/>
  <c r="G107" s="1"/>
  <c r="F109"/>
  <c r="I108"/>
  <c r="I107" s="1"/>
  <c r="I119"/>
  <c r="I118" s="1"/>
  <c r="G131"/>
  <c r="G130" s="1"/>
  <c r="F137"/>
  <c r="F169"/>
  <c r="F178"/>
  <c r="I167"/>
  <c r="F190"/>
  <c r="F242"/>
  <c r="F323"/>
  <c r="H364"/>
  <c r="I379"/>
  <c r="I378" s="1"/>
  <c r="F416"/>
  <c r="F448"/>
  <c r="F474"/>
  <c r="F473" s="1"/>
  <c r="F472" s="1"/>
  <c r="F480"/>
  <c r="H485"/>
  <c r="F517"/>
  <c r="F538"/>
  <c r="F534" s="1"/>
  <c r="F533" s="1"/>
  <c r="F591"/>
  <c r="F709"/>
  <c r="G724"/>
  <c r="G722" s="1"/>
  <c r="F16" i="53"/>
  <c r="I31"/>
  <c r="I30" s="1"/>
  <c r="J30"/>
  <c r="G88"/>
  <c r="J357"/>
  <c r="I226"/>
  <c r="I225" s="1"/>
  <c r="I210" s="1"/>
  <c r="H239"/>
  <c r="H238" s="1"/>
  <c r="F240"/>
  <c r="F246"/>
  <c r="G290"/>
  <c r="G289" s="1"/>
  <c r="F300"/>
  <c r="F290" s="1"/>
  <c r="F289" s="1"/>
  <c r="F327"/>
  <c r="J410"/>
  <c r="H451"/>
  <c r="H450" s="1"/>
  <c r="H407" s="1"/>
  <c r="I495"/>
  <c r="F525"/>
  <c r="G10" i="52"/>
  <c r="G8" s="1"/>
  <c r="G44"/>
  <c r="G43" s="1"/>
  <c r="I44"/>
  <c r="I43" s="1"/>
  <c r="F63"/>
  <c r="I80"/>
  <c r="G92"/>
  <c r="G91" s="1"/>
  <c r="I92"/>
  <c r="I91" s="1"/>
  <c r="F112"/>
  <c r="G144"/>
  <c r="G143" s="1"/>
  <c r="I144"/>
  <c r="I143" s="1"/>
  <c r="J328"/>
  <c r="J327" s="1"/>
  <c r="G393"/>
  <c r="G392" s="1"/>
  <c r="F393"/>
  <c r="H409"/>
  <c r="H408"/>
  <c r="H422"/>
  <c r="H421" s="1"/>
  <c r="F426"/>
  <c r="J447"/>
  <c r="J446" s="1"/>
  <c r="J406" s="1"/>
  <c r="H447"/>
  <c r="H446" s="1"/>
  <c r="J460"/>
  <c r="J459" s="1"/>
  <c r="I473"/>
  <c r="I472" s="1"/>
  <c r="H472"/>
  <c r="G486"/>
  <c r="G485" s="1"/>
  <c r="F547"/>
  <c r="F619"/>
  <c r="J9" i="53"/>
  <c r="F158"/>
  <c r="F153" s="1"/>
  <c r="F152" s="1"/>
  <c r="G197"/>
  <c r="G196" s="1"/>
  <c r="G166" s="1"/>
  <c r="H212"/>
  <c r="F230"/>
  <c r="F226" s="1"/>
  <c r="F225" s="1"/>
  <c r="I239"/>
  <c r="I238" s="1"/>
  <c r="J238"/>
  <c r="F282"/>
  <c r="I407"/>
  <c r="G450"/>
  <c r="F492"/>
  <c r="J521"/>
  <c r="J520" s="1"/>
  <c r="J495" s="1"/>
  <c r="H222" i="52"/>
  <c r="H221" s="1"/>
  <c r="F226"/>
  <c r="F222" s="1"/>
  <c r="F221" s="1"/>
  <c r="I235"/>
  <c r="I234" s="1"/>
  <c r="G235"/>
  <c r="G234" s="1"/>
  <c r="F239"/>
  <c r="F235" s="1"/>
  <c r="F234" s="1"/>
  <c r="H247"/>
  <c r="H246" s="1"/>
  <c r="F286"/>
  <c r="I291"/>
  <c r="I290" s="1"/>
  <c r="F292"/>
  <c r="F291" s="1"/>
  <c r="F290" s="1"/>
  <c r="F338"/>
  <c r="J351"/>
  <c r="J350" s="1"/>
  <c r="H351"/>
  <c r="H350" s="1"/>
  <c r="F400"/>
  <c r="I409"/>
  <c r="I408" s="1"/>
  <c r="G409"/>
  <c r="G408" s="1"/>
  <c r="F413"/>
  <c r="G422"/>
  <c r="G421" s="1"/>
  <c r="G406" s="1"/>
  <c r="F423"/>
  <c r="F422" s="1"/>
  <c r="F421" s="1"/>
  <c r="I422"/>
  <c r="G447"/>
  <c r="G446" s="1"/>
  <c r="F461"/>
  <c r="F460" s="1"/>
  <c r="F459" s="1"/>
  <c r="F467"/>
  <c r="F493"/>
  <c r="G534"/>
  <c r="G533" s="1"/>
  <c r="F580"/>
  <c r="F574" s="1"/>
  <c r="F573" s="1"/>
  <c r="G624"/>
  <c r="H663"/>
  <c r="H662" s="1"/>
  <c r="J708"/>
  <c r="J707" s="1"/>
  <c r="J622" s="1"/>
  <c r="H708"/>
  <c r="H707" s="1"/>
  <c r="G746"/>
  <c r="F747"/>
  <c r="F746" s="1"/>
  <c r="F797"/>
  <c r="H45" i="53"/>
  <c r="H44" s="1"/>
  <c r="H7" s="1"/>
  <c r="F84"/>
  <c r="J88"/>
  <c r="F114"/>
  <c r="I118"/>
  <c r="F154"/>
  <c r="I169"/>
  <c r="I168"/>
  <c r="I166" s="1"/>
  <c r="F190"/>
  <c r="J213"/>
  <c r="J212" s="1"/>
  <c r="J210" s="1"/>
  <c r="H253"/>
  <c r="G410"/>
  <c r="G409" s="1"/>
  <c r="G407" s="1"/>
  <c r="G451"/>
  <c r="I451"/>
  <c r="I450" s="1"/>
  <c r="F463"/>
  <c r="F505"/>
  <c r="H497"/>
  <c r="F79" i="52"/>
  <c r="J348"/>
  <c r="G348"/>
  <c r="F408"/>
  <c r="H622"/>
  <c r="G210" i="53"/>
  <c r="F33" i="52"/>
  <c r="F32" s="1"/>
  <c r="H32"/>
  <c r="G80"/>
  <c r="G79" s="1"/>
  <c r="F131"/>
  <c r="F130" s="1"/>
  <c r="F157"/>
  <c r="F189"/>
  <c r="F188" s="1"/>
  <c r="F358"/>
  <c r="H378"/>
  <c r="I421"/>
  <c r="I406" s="1"/>
  <c r="G708"/>
  <c r="G707" s="1"/>
  <c r="G622" s="1"/>
  <c r="G745"/>
  <c r="F745"/>
  <c r="J7" i="53"/>
  <c r="F45"/>
  <c r="H153"/>
  <c r="H152" s="1"/>
  <c r="J251"/>
  <c r="D21" i="54"/>
  <c r="F17" i="52"/>
  <c r="F10" s="1"/>
  <c r="I79"/>
  <c r="F96"/>
  <c r="I130"/>
  <c r="F148"/>
  <c r="H167"/>
  <c r="F210"/>
  <c r="F439"/>
  <c r="F435" s="1"/>
  <c r="F434" s="1"/>
  <c r="F454"/>
  <c r="F487"/>
  <c r="F486" s="1"/>
  <c r="F485" s="1"/>
  <c r="G499"/>
  <c r="G497" s="1"/>
  <c r="F500"/>
  <c r="H770"/>
  <c r="H722" s="1"/>
  <c r="F197" i="53"/>
  <c r="F239"/>
  <c r="F364"/>
  <c r="I10" i="52"/>
  <c r="F45"/>
  <c r="F44" s="1"/>
  <c r="H79"/>
  <c r="F93"/>
  <c r="F122"/>
  <c r="F119" s="1"/>
  <c r="F118" s="1"/>
  <c r="F145"/>
  <c r="F217"/>
  <c r="F248"/>
  <c r="F247" s="1"/>
  <c r="F246" s="1"/>
  <c r="G328"/>
  <c r="G327" s="1"/>
  <c r="F329"/>
  <c r="F355"/>
  <c r="F351" s="1"/>
  <c r="F350" s="1"/>
  <c r="F451"/>
  <c r="F447" s="1"/>
  <c r="F716"/>
  <c r="F708" s="1"/>
  <c r="F707" s="1"/>
  <c r="G30" i="53"/>
  <c r="F173"/>
  <c r="F169" s="1"/>
  <c r="G495"/>
  <c r="I573" i="52"/>
  <c r="H574"/>
  <c r="H573" s="1"/>
  <c r="H497" s="1"/>
  <c r="F625"/>
  <c r="F624" s="1"/>
  <c r="J763"/>
  <c r="J762" s="1"/>
  <c r="J722" s="1"/>
  <c r="F375" i="53"/>
  <c r="F422"/>
  <c r="F410" s="1"/>
  <c r="F409" s="1"/>
  <c r="F521"/>
  <c r="H521"/>
  <c r="H520" s="1"/>
  <c r="H495" s="1"/>
  <c r="H119" i="52"/>
  <c r="H118" s="1"/>
  <c r="F345"/>
  <c r="F366"/>
  <c r="F365" s="1"/>
  <c r="F364" s="1"/>
  <c r="F386"/>
  <c r="F378" s="1"/>
  <c r="F628"/>
  <c r="F675"/>
  <c r="F663" s="1"/>
  <c r="F662" s="1"/>
  <c r="F771"/>
  <c r="F770" s="1"/>
  <c r="G771"/>
  <c r="G770" s="1"/>
  <c r="F32" i="53"/>
  <c r="F129"/>
  <c r="F119" s="1"/>
  <c r="F184"/>
  <c r="F183" s="1"/>
  <c r="F182" s="1"/>
  <c r="J409"/>
  <c r="J407" s="1"/>
  <c r="D34" i="54"/>
  <c r="F10" i="53"/>
  <c r="I7"/>
  <c r="F36"/>
  <c r="F99"/>
  <c r="F89" s="1"/>
  <c r="J182"/>
  <c r="J166" s="1"/>
  <c r="F204"/>
  <c r="G253"/>
  <c r="F254"/>
  <c r="F253" s="1"/>
  <c r="H251"/>
  <c r="F316"/>
  <c r="F499"/>
  <c r="F517"/>
  <c r="F176"/>
  <c r="F217"/>
  <c r="F213" s="1"/>
  <c r="F212" s="1"/>
  <c r="F233"/>
  <c r="G310"/>
  <c r="G309" s="1"/>
  <c r="F311"/>
  <c r="G358"/>
  <c r="G357" s="1"/>
  <c r="F359"/>
  <c r="F452"/>
  <c r="F549"/>
  <c r="D13" i="55"/>
  <c r="D21"/>
  <c r="F30" i="37"/>
  <c r="F1047" i="46"/>
  <c r="F1046" s="1"/>
  <c r="I552" i="53" l="1"/>
  <c r="F9"/>
  <c r="F92" i="52"/>
  <c r="F91" s="1"/>
  <c r="F8" s="1"/>
  <c r="F722"/>
  <c r="F451" i="53"/>
  <c r="F450" s="1"/>
  <c r="F118"/>
  <c r="F168"/>
  <c r="H8" i="52"/>
  <c r="H210" i="53"/>
  <c r="F168" i="52"/>
  <c r="F167" s="1"/>
  <c r="H406"/>
  <c r="F310" i="53"/>
  <c r="F309" s="1"/>
  <c r="F622" i="52"/>
  <c r="H348"/>
  <c r="F88" i="53"/>
  <c r="F392" i="52"/>
  <c r="F498" i="53"/>
  <c r="I497" i="52"/>
  <c r="G7" i="53"/>
  <c r="G552" s="1"/>
  <c r="F328" i="52"/>
  <c r="F43"/>
  <c r="F238" i="53"/>
  <c r="F499" i="52"/>
  <c r="F497" s="1"/>
  <c r="F44" i="53"/>
  <c r="F108" i="52"/>
  <c r="F107" s="1"/>
  <c r="J800"/>
  <c r="F348"/>
  <c r="F520" i="53"/>
  <c r="H552"/>
  <c r="F446" i="52"/>
  <c r="F406" s="1"/>
  <c r="F407" i="53"/>
  <c r="F327" i="52"/>
  <c r="F210" i="53"/>
  <c r="F358"/>
  <c r="F357" s="1"/>
  <c r="F251" s="1"/>
  <c r="F497"/>
  <c r="F495" s="1"/>
  <c r="G251"/>
  <c r="F31"/>
  <c r="F30" s="1"/>
  <c r="I8" i="52"/>
  <c r="I800" s="1"/>
  <c r="F196" i="53"/>
  <c r="F209" i="52"/>
  <c r="F144"/>
  <c r="F143" s="1"/>
  <c r="G800"/>
  <c r="J552" i="53"/>
  <c r="D186" i="51"/>
  <c r="E28"/>
  <c r="E27"/>
  <c r="G26"/>
  <c r="G25" s="1"/>
  <c r="F26"/>
  <c r="F25" s="1"/>
  <c r="E24"/>
  <c r="E23"/>
  <c r="E22" s="1"/>
  <c r="E21" s="1"/>
  <c r="G22"/>
  <c r="G21" s="1"/>
  <c r="F22"/>
  <c r="F21"/>
  <c r="E20"/>
  <c r="E19"/>
  <c r="E18" s="1"/>
  <c r="E17" s="1"/>
  <c r="G18"/>
  <c r="G17" s="1"/>
  <c r="F18"/>
  <c r="F17"/>
  <c r="E16"/>
  <c r="E14" s="1"/>
  <c r="E13" s="1"/>
  <c r="E15"/>
  <c r="G14"/>
  <c r="F14"/>
  <c r="F13" s="1"/>
  <c r="G13"/>
  <c r="E12"/>
  <c r="E10" s="1"/>
  <c r="E9" s="1"/>
  <c r="E11"/>
  <c r="G10"/>
  <c r="G9" s="1"/>
  <c r="F10"/>
  <c r="F9" s="1"/>
  <c r="E8"/>
  <c r="E7"/>
  <c r="G6"/>
  <c r="G5" s="1"/>
  <c r="F6"/>
  <c r="F5" s="1"/>
  <c r="C14" i="50"/>
  <c r="E287" i="49"/>
  <c r="G148"/>
  <c r="F148" s="1"/>
  <c r="E148" s="1"/>
  <c r="G147"/>
  <c r="F147"/>
  <c r="E147" s="1"/>
  <c r="F146"/>
  <c r="E146" s="1"/>
  <c r="K145"/>
  <c r="K144" s="1"/>
  <c r="I145"/>
  <c r="H145"/>
  <c r="G145" s="1"/>
  <c r="I144"/>
  <c r="G143"/>
  <c r="F143" s="1"/>
  <c r="E143" s="1"/>
  <c r="G142"/>
  <c r="F142"/>
  <c r="E142" s="1"/>
  <c r="G141"/>
  <c r="F141" s="1"/>
  <c r="E141" s="1"/>
  <c r="G140"/>
  <c r="F140" s="1"/>
  <c r="E140" s="1"/>
  <c r="G139"/>
  <c r="F139" s="1"/>
  <c r="E139" s="1"/>
  <c r="G138"/>
  <c r="F138"/>
  <c r="E138" s="1"/>
  <c r="G137"/>
  <c r="F137" s="1"/>
  <c r="E137" s="1"/>
  <c r="G136"/>
  <c r="F136" s="1"/>
  <c r="E136" s="1"/>
  <c r="G135"/>
  <c r="F135" s="1"/>
  <c r="E135" s="1"/>
  <c r="G134"/>
  <c r="F134" s="1"/>
  <c r="E134" s="1"/>
  <c r="G133"/>
  <c r="F133" s="1"/>
  <c r="E133" s="1"/>
  <c r="G132"/>
  <c r="F132"/>
  <c r="E132" s="1"/>
  <c r="G131"/>
  <c r="F131" s="1"/>
  <c r="E131" s="1"/>
  <c r="G130"/>
  <c r="F130"/>
  <c r="E130" s="1"/>
  <c r="G129"/>
  <c r="F129" s="1"/>
  <c r="E129" s="1"/>
  <c r="G128"/>
  <c r="F128" s="1"/>
  <c r="E128" s="1"/>
  <c r="G127"/>
  <c r="F127" s="1"/>
  <c r="E127" s="1"/>
  <c r="G126"/>
  <c r="F126"/>
  <c r="E126" s="1"/>
  <c r="G125"/>
  <c r="F125" s="1"/>
  <c r="E125" s="1"/>
  <c r="G124"/>
  <c r="F124"/>
  <c r="E124" s="1"/>
  <c r="F123"/>
  <c r="E123" s="1"/>
  <c r="K122"/>
  <c r="I122"/>
  <c r="H122"/>
  <c r="G122" s="1"/>
  <c r="F122" s="1"/>
  <c r="E122" s="1"/>
  <c r="G121"/>
  <c r="F121" s="1"/>
  <c r="E121" s="1"/>
  <c r="G120"/>
  <c r="F120"/>
  <c r="E120" s="1"/>
  <c r="G119"/>
  <c r="F119" s="1"/>
  <c r="E119" s="1"/>
  <c r="G118"/>
  <c r="F118" s="1"/>
  <c r="E118" s="1"/>
  <c r="G117"/>
  <c r="F117" s="1"/>
  <c r="E117" s="1"/>
  <c r="G116"/>
  <c r="F116"/>
  <c r="E116" s="1"/>
  <c r="G115"/>
  <c r="F115" s="1"/>
  <c r="E115" s="1"/>
  <c r="G114"/>
  <c r="F114" s="1"/>
  <c r="E114" s="1"/>
  <c r="G113"/>
  <c r="F113" s="1"/>
  <c r="E113" s="1"/>
  <c r="G112"/>
  <c r="F112" s="1"/>
  <c r="E112" s="1"/>
  <c r="G111"/>
  <c r="F111" s="1"/>
  <c r="E111" s="1"/>
  <c r="G110"/>
  <c r="F110" s="1"/>
  <c r="E110" s="1"/>
  <c r="G109"/>
  <c r="F109" s="1"/>
  <c r="E109" s="1"/>
  <c r="G108"/>
  <c r="F108"/>
  <c r="E108" s="1"/>
  <c r="G107"/>
  <c r="F107" s="1"/>
  <c r="E107" s="1"/>
  <c r="G106"/>
  <c r="F106" s="1"/>
  <c r="E106" s="1"/>
  <c r="G105"/>
  <c r="F105" s="1"/>
  <c r="E105" s="1"/>
  <c r="G104"/>
  <c r="F104"/>
  <c r="E104" s="1"/>
  <c r="G103"/>
  <c r="F103" s="1"/>
  <c r="E103" s="1"/>
  <c r="G102"/>
  <c r="F102" s="1"/>
  <c r="E102" s="1"/>
  <c r="G101"/>
  <c r="F101" s="1"/>
  <c r="E101" s="1"/>
  <c r="G100"/>
  <c r="F100" s="1"/>
  <c r="E100" s="1"/>
  <c r="L99"/>
  <c r="K99"/>
  <c r="J99"/>
  <c r="I99"/>
  <c r="I98" s="1"/>
  <c r="H99"/>
  <c r="K98"/>
  <c r="H98"/>
  <c r="G97"/>
  <c r="F97" s="1"/>
  <c r="E96"/>
  <c r="L95"/>
  <c r="I95"/>
  <c r="G95" s="1"/>
  <c r="G94"/>
  <c r="F94"/>
  <c r="E94" s="1"/>
  <c r="E93" s="1"/>
  <c r="I93"/>
  <c r="G93" s="1"/>
  <c r="G92"/>
  <c r="F92" s="1"/>
  <c r="E92" s="1"/>
  <c r="G91"/>
  <c r="F91"/>
  <c r="E91" s="1"/>
  <c r="G90"/>
  <c r="F90"/>
  <c r="E90" s="1"/>
  <c r="G89"/>
  <c r="F89" s="1"/>
  <c r="E89" s="1"/>
  <c r="G88"/>
  <c r="F88"/>
  <c r="E88" s="1"/>
  <c r="I87"/>
  <c r="H87"/>
  <c r="G87"/>
  <c r="F87" s="1"/>
  <c r="E87" s="1"/>
  <c r="G86"/>
  <c r="F86"/>
  <c r="E86" s="1"/>
  <c r="G85"/>
  <c r="F85" s="1"/>
  <c r="E85" s="1"/>
  <c r="G84"/>
  <c r="F84"/>
  <c r="E84" s="1"/>
  <c r="H83"/>
  <c r="G83" s="1"/>
  <c r="F83" s="1"/>
  <c r="E83" s="1"/>
  <c r="I82"/>
  <c r="E81"/>
  <c r="G80"/>
  <c r="F80" s="1"/>
  <c r="E80" s="1"/>
  <c r="L79"/>
  <c r="L66" s="1"/>
  <c r="I79"/>
  <c r="G79" s="1"/>
  <c r="F79" s="1"/>
  <c r="E79" s="1"/>
  <c r="G78"/>
  <c r="F78" s="1"/>
  <c r="E78" s="1"/>
  <c r="G77"/>
  <c r="F77" s="1"/>
  <c r="E77" s="1"/>
  <c r="G76"/>
  <c r="F76" s="1"/>
  <c r="E76" s="1"/>
  <c r="G75"/>
  <c r="F75" s="1"/>
  <c r="E75" s="1"/>
  <c r="G74"/>
  <c r="F74" s="1"/>
  <c r="E74" s="1"/>
  <c r="G73"/>
  <c r="F73" s="1"/>
  <c r="E73" s="1"/>
  <c r="G72"/>
  <c r="F72"/>
  <c r="E72"/>
  <c r="G71"/>
  <c r="F71"/>
  <c r="E71" s="1"/>
  <c r="G70"/>
  <c r="F70"/>
  <c r="E70" s="1"/>
  <c r="G69"/>
  <c r="F69"/>
  <c r="E69" s="1"/>
  <c r="I68"/>
  <c r="G68" s="1"/>
  <c r="F68" s="1"/>
  <c r="E68" s="1"/>
  <c r="G67"/>
  <c r="F67" s="1"/>
  <c r="E67" s="1"/>
  <c r="G65"/>
  <c r="F65" s="1"/>
  <c r="F64"/>
  <c r="E64"/>
  <c r="J63"/>
  <c r="J149" s="1"/>
  <c r="I63"/>
  <c r="G62"/>
  <c r="F62" s="1"/>
  <c r="E62" s="1"/>
  <c r="E61"/>
  <c r="E60"/>
  <c r="G59"/>
  <c r="F59" s="1"/>
  <c r="E59" s="1"/>
  <c r="G58"/>
  <c r="F58" s="1"/>
  <c r="E58" s="1"/>
  <c r="G57"/>
  <c r="F57" s="1"/>
  <c r="E57" s="1"/>
  <c r="G56"/>
  <c r="F56" s="1"/>
  <c r="E56" s="1"/>
  <c r="G55"/>
  <c r="F55"/>
  <c r="E55" s="1"/>
  <c r="G54"/>
  <c r="F54" s="1"/>
  <c r="E54" s="1"/>
  <c r="G53"/>
  <c r="F53" s="1"/>
  <c r="E53" s="1"/>
  <c r="G52"/>
  <c r="F52" s="1"/>
  <c r="E52" s="1"/>
  <c r="G51"/>
  <c r="F51"/>
  <c r="E51" s="1"/>
  <c r="G50"/>
  <c r="F50" s="1"/>
  <c r="E50" s="1"/>
  <c r="G49"/>
  <c r="F49"/>
  <c r="E49" s="1"/>
  <c r="G48"/>
  <c r="F48" s="1"/>
  <c r="E48" s="1"/>
  <c r="G47"/>
  <c r="F47"/>
  <c r="E47" s="1"/>
  <c r="G46"/>
  <c r="F46" s="1"/>
  <c r="E46" s="1"/>
  <c r="G45"/>
  <c r="F45" s="1"/>
  <c r="E45" s="1"/>
  <c r="G44"/>
  <c r="F44" s="1"/>
  <c r="E44" s="1"/>
  <c r="G43"/>
  <c r="F43" s="1"/>
  <c r="E43" s="1"/>
  <c r="G42"/>
  <c r="F42" s="1"/>
  <c r="E42" s="1"/>
  <c r="G41"/>
  <c r="F41"/>
  <c r="E41" s="1"/>
  <c r="G40"/>
  <c r="F40" s="1"/>
  <c r="E40" s="1"/>
  <c r="G39"/>
  <c r="F39" s="1"/>
  <c r="E39" s="1"/>
  <c r="G38"/>
  <c r="F38"/>
  <c r="E38"/>
  <c r="G37"/>
  <c r="F37" s="1"/>
  <c r="E37" s="1"/>
  <c r="G36"/>
  <c r="F36"/>
  <c r="E36" s="1"/>
  <c r="G35"/>
  <c r="F35" s="1"/>
  <c r="E35" s="1"/>
  <c r="G34"/>
  <c r="F34" s="1"/>
  <c r="E34" s="1"/>
  <c r="L33"/>
  <c r="I33"/>
  <c r="H33"/>
  <c r="G33" s="1"/>
  <c r="F33" s="1"/>
  <c r="E33" s="1"/>
  <c r="E32"/>
  <c r="E31"/>
  <c r="G30"/>
  <c r="F30" s="1"/>
  <c r="E30" s="1"/>
  <c r="G29"/>
  <c r="F29" s="1"/>
  <c r="E29" s="1"/>
  <c r="G28"/>
  <c r="F28"/>
  <c r="E28" s="1"/>
  <c r="G27"/>
  <c r="F27" s="1"/>
  <c r="E27" s="1"/>
  <c r="G26"/>
  <c r="F26" s="1"/>
  <c r="E26" s="1"/>
  <c r="G25"/>
  <c r="F25"/>
  <c r="E25" s="1"/>
  <c r="I24"/>
  <c r="G24"/>
  <c r="F24" s="1"/>
  <c r="E24" s="1"/>
  <c r="G23"/>
  <c r="F23" s="1"/>
  <c r="E23" s="1"/>
  <c r="G22"/>
  <c r="F22"/>
  <c r="E22" s="1"/>
  <c r="G21"/>
  <c r="F21"/>
  <c r="E21"/>
  <c r="G20"/>
  <c r="F20" s="1"/>
  <c r="E20" s="1"/>
  <c r="G19"/>
  <c r="F19"/>
  <c r="E19" s="1"/>
  <c r="G18"/>
  <c r="F18" s="1"/>
  <c r="E18" s="1"/>
  <c r="G17"/>
  <c r="F17" s="1"/>
  <c r="E17" s="1"/>
  <c r="G16"/>
  <c r="F16"/>
  <c r="E16" s="1"/>
  <c r="F15"/>
  <c r="E15" s="1"/>
  <c r="L14"/>
  <c r="K14"/>
  <c r="K6" s="1"/>
  <c r="I14"/>
  <c r="G14" s="1"/>
  <c r="F14" s="1"/>
  <c r="E14" s="1"/>
  <c r="H14"/>
  <c r="G13"/>
  <c r="F13"/>
  <c r="E13" s="1"/>
  <c r="G12"/>
  <c r="F12" s="1"/>
  <c r="E12" s="1"/>
  <c r="G11"/>
  <c r="F11" s="1"/>
  <c r="E11" s="1"/>
  <c r="G10"/>
  <c r="F10" s="1"/>
  <c r="E10" s="1"/>
  <c r="G9"/>
  <c r="F9" s="1"/>
  <c r="E9" s="1"/>
  <c r="G8"/>
  <c r="F8" s="1"/>
  <c r="E8" s="1"/>
  <c r="I7"/>
  <c r="H7"/>
  <c r="G7" s="1"/>
  <c r="F7" s="1"/>
  <c r="L6"/>
  <c r="D171" i="48"/>
  <c r="E53"/>
  <c r="E52" s="1"/>
  <c r="E50"/>
  <c r="E48"/>
  <c r="E45"/>
  <c r="E42"/>
  <c r="E41"/>
  <c r="E39"/>
  <c r="E37"/>
  <c r="E36"/>
  <c r="E33"/>
  <c r="E31"/>
  <c r="E29"/>
  <c r="E27"/>
  <c r="E24"/>
  <c r="E22"/>
  <c r="E19"/>
  <c r="E14"/>
  <c r="E10"/>
  <c r="E8"/>
  <c r="F7" i="53" l="1"/>
  <c r="F552" s="1"/>
  <c r="E7" i="48"/>
  <c r="E21"/>
  <c r="H82" i="49"/>
  <c r="G82" s="1"/>
  <c r="F82" s="1"/>
  <c r="E82" s="1"/>
  <c r="F166" i="53"/>
  <c r="H800" i="52"/>
  <c r="K149" i="49"/>
  <c r="I6"/>
  <c r="E26" i="48"/>
  <c r="E6" i="51"/>
  <c r="E5" s="1"/>
  <c r="E26"/>
  <c r="E25" s="1"/>
  <c r="E65" i="49"/>
  <c r="E63" s="1"/>
  <c r="F63"/>
  <c r="G98"/>
  <c r="F98" s="1"/>
  <c r="E98" s="1"/>
  <c r="F800" i="52"/>
  <c r="H6" i="49"/>
  <c r="L149"/>
  <c r="F145"/>
  <c r="I149"/>
  <c r="F29" i="51"/>
  <c r="G63" i="49"/>
  <c r="I66"/>
  <c r="G66" s="1"/>
  <c r="F66" s="1"/>
  <c r="E66" s="1"/>
  <c r="E47" i="48"/>
  <c r="F93" i="49"/>
  <c r="G99"/>
  <c r="F99" s="1"/>
  <c r="E99" s="1"/>
  <c r="H144"/>
  <c r="G144" s="1"/>
  <c r="E29" i="51"/>
  <c r="G29"/>
  <c r="E7" i="49"/>
  <c r="E6" s="1"/>
  <c r="F6"/>
  <c r="E97"/>
  <c r="E95" s="1"/>
  <c r="F95"/>
  <c r="F144"/>
  <c r="E145"/>
  <c r="E55" i="48" l="1"/>
  <c r="G6" i="49"/>
  <c r="G149" s="1"/>
  <c r="H149"/>
  <c r="F149"/>
  <c r="E144"/>
  <c r="E149" s="1"/>
  <c r="E361" i="47" l="1"/>
  <c r="E360"/>
  <c r="E359"/>
  <c r="E356"/>
  <c r="E355"/>
  <c r="E349"/>
  <c r="E346"/>
  <c r="E345"/>
  <c r="E344"/>
  <c r="E343"/>
  <c r="E342"/>
  <c r="E341"/>
  <c r="E340"/>
  <c r="E339"/>
  <c r="E329"/>
  <c r="E328"/>
  <c r="E327" s="1"/>
  <c r="E323"/>
  <c r="E322" s="1"/>
  <c r="E321" s="1"/>
  <c r="E318"/>
  <c r="E317" s="1"/>
  <c r="E314"/>
  <c r="E313"/>
  <c r="E310"/>
  <c r="E309" s="1"/>
  <c r="E305"/>
  <c r="E299"/>
  <c r="E298"/>
  <c r="E295"/>
  <c r="E294" s="1"/>
  <c r="E291"/>
  <c r="E289"/>
  <c r="E288" s="1"/>
  <c r="E285"/>
  <c r="E284" s="1"/>
  <c r="E280"/>
  <c r="E279" s="1"/>
  <c r="E275"/>
  <c r="E274" s="1"/>
  <c r="E273" s="1"/>
  <c r="E268"/>
  <c r="E267" s="1"/>
  <c r="E261"/>
  <c r="E260"/>
  <c r="E257"/>
  <c r="E256" s="1"/>
  <c r="E253"/>
  <c r="E252"/>
  <c r="E249"/>
  <c r="E248" s="1"/>
  <c r="E245"/>
  <c r="E243"/>
  <c r="E242" s="1"/>
  <c r="E240"/>
  <c r="E237"/>
  <c r="E232"/>
  <c r="E229"/>
  <c r="E228" s="1"/>
  <c r="E225"/>
  <c r="E224" s="1"/>
  <c r="E221"/>
  <c r="E220"/>
  <c r="E217"/>
  <c r="E216" s="1"/>
  <c r="E213"/>
  <c r="E212" s="1"/>
  <c r="E207"/>
  <c r="E206" s="1"/>
  <c r="E202"/>
  <c r="E201"/>
  <c r="E197"/>
  <c r="E196" s="1"/>
  <c r="E195" s="1"/>
  <c r="E192"/>
  <c r="E188"/>
  <c r="E187" s="1"/>
  <c r="E183"/>
  <c r="E182" s="1"/>
  <c r="E178"/>
  <c r="E177"/>
  <c r="E171"/>
  <c r="E170" s="1"/>
  <c r="E167"/>
  <c r="E166"/>
  <c r="E161"/>
  <c r="E160" s="1"/>
  <c r="E159" s="1"/>
  <c r="E156"/>
  <c r="E154"/>
  <c r="E153"/>
  <c r="E152" s="1"/>
  <c r="E150"/>
  <c r="E148"/>
  <c r="E144"/>
  <c r="E143"/>
  <c r="E138"/>
  <c r="E137"/>
  <c r="E133"/>
  <c r="E132" s="1"/>
  <c r="E128"/>
  <c r="E127" s="1"/>
  <c r="E123"/>
  <c r="E120"/>
  <c r="E119"/>
  <c r="E118" s="1"/>
  <c r="E113"/>
  <c r="E108" s="1"/>
  <c r="E107" s="1"/>
  <c r="E109"/>
  <c r="E102"/>
  <c r="E101" s="1"/>
  <c r="E97"/>
  <c r="E92" s="1"/>
  <c r="E93"/>
  <c r="E89"/>
  <c r="E88" s="1"/>
  <c r="E85"/>
  <c r="E84" s="1"/>
  <c r="E79"/>
  <c r="E74"/>
  <c r="E67"/>
  <c r="E66" s="1"/>
  <c r="E63"/>
  <c r="E62" s="1"/>
  <c r="E61" s="1"/>
  <c r="E57"/>
  <c r="E56" s="1"/>
  <c r="E55" s="1"/>
  <c r="E52"/>
  <c r="E51" s="1"/>
  <c r="E48"/>
  <c r="E46" s="1"/>
  <c r="E43"/>
  <c r="E42"/>
  <c r="E39"/>
  <c r="E34"/>
  <c r="E27"/>
  <c r="E23" s="1"/>
  <c r="E24"/>
  <c r="E18"/>
  <c r="E17"/>
  <c r="E14"/>
  <c r="E13" s="1"/>
  <c r="E10"/>
  <c r="E9"/>
  <c r="F1795" i="46"/>
  <c r="F1794"/>
  <c r="F1791"/>
  <c r="F1790"/>
  <c r="F1789" s="1"/>
  <c r="F1787"/>
  <c r="F1786"/>
  <c r="F1783"/>
  <c r="F1782"/>
  <c r="F1781" s="1"/>
  <c r="F1776"/>
  <c r="F1775" s="1"/>
  <c r="F1774" s="1"/>
  <c r="F1771"/>
  <c r="F1769"/>
  <c r="F1768"/>
  <c r="F1767"/>
  <c r="F1766"/>
  <c r="F1765"/>
  <c r="F1764"/>
  <c r="F1763"/>
  <c r="F1762"/>
  <c r="F1761"/>
  <c r="F1760"/>
  <c r="F1759"/>
  <c r="F1758"/>
  <c r="F1757"/>
  <c r="F1756"/>
  <c r="F1755"/>
  <c r="F1754"/>
  <c r="F1753"/>
  <c r="F1750"/>
  <c r="F1749"/>
  <c r="F1748"/>
  <c r="F1747"/>
  <c r="F1746"/>
  <c r="F1740"/>
  <c r="F1738" s="1"/>
  <c r="F1737" s="1"/>
  <c r="F1735"/>
  <c r="F1734"/>
  <c r="F1729"/>
  <c r="F1728" s="1"/>
  <c r="F1727" s="1"/>
  <c r="F1725"/>
  <c r="F1724" s="1"/>
  <c r="F1723" s="1"/>
  <c r="F1721"/>
  <c r="F1720" s="1"/>
  <c r="F1719" s="1"/>
  <c r="F1717"/>
  <c r="F1716"/>
  <c r="F1711"/>
  <c r="F1710" s="1"/>
  <c r="F1708"/>
  <c r="F1707"/>
  <c r="F1702"/>
  <c r="F1701" s="1"/>
  <c r="F1698"/>
  <c r="F1697" s="1"/>
  <c r="F1696" s="1"/>
  <c r="F1694"/>
  <c r="F1693"/>
  <c r="F1689"/>
  <c r="F1688"/>
  <c r="F1684"/>
  <c r="F1683"/>
  <c r="F1675"/>
  <c r="F1674"/>
  <c r="F1669"/>
  <c r="F1668" s="1"/>
  <c r="F1666"/>
  <c r="F1665"/>
  <c r="F1661"/>
  <c r="F1660"/>
  <c r="F1659" s="1"/>
  <c r="F1657"/>
  <c r="F1656"/>
  <c r="F1652"/>
  <c r="F1651"/>
  <c r="F1650"/>
  <c r="F1645"/>
  <c r="F1644" s="1"/>
  <c r="F1643" s="1"/>
  <c r="F1642" s="1"/>
  <c r="F1641"/>
  <c r="F1640"/>
  <c r="F1639"/>
  <c r="F1633"/>
  <c r="F1632" s="1"/>
  <c r="F1630"/>
  <c r="F1629"/>
  <c r="F1628"/>
  <c r="F1623"/>
  <c r="F1622" s="1"/>
  <c r="F1621" s="1"/>
  <c r="F1620" s="1"/>
  <c r="F1618"/>
  <c r="F1617" s="1"/>
  <c r="F1616" s="1"/>
  <c r="F1614"/>
  <c r="F1613" s="1"/>
  <c r="F1612" s="1"/>
  <c r="F1610"/>
  <c r="F1609" s="1"/>
  <c r="F1608" s="1"/>
  <c r="F1607" s="1"/>
  <c r="F1606"/>
  <c r="F1605"/>
  <c r="F1604"/>
  <c r="F1603"/>
  <c r="F1602"/>
  <c r="F1601"/>
  <c r="F1600"/>
  <c r="F1599"/>
  <c r="F1598"/>
  <c r="F1597"/>
  <c r="F1596"/>
  <c r="F1595"/>
  <c r="F1594"/>
  <c r="F1593"/>
  <c r="F1589"/>
  <c r="F1588" s="1"/>
  <c r="F1586"/>
  <c r="F1585"/>
  <c r="F1584"/>
  <c r="F1583"/>
  <c r="F1582"/>
  <c r="F1581"/>
  <c r="F1580"/>
  <c r="F1577"/>
  <c r="F1576"/>
  <c r="F1575"/>
  <c r="F1574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28"/>
  <c r="F1527" s="1"/>
  <c r="F1524"/>
  <c r="F1523"/>
  <c r="F1522"/>
  <c r="F1521"/>
  <c r="F1520" s="1"/>
  <c r="F1518"/>
  <c r="F1517"/>
  <c r="F1516"/>
  <c r="F1515"/>
  <c r="F1514"/>
  <c r="F1513"/>
  <c r="F1509"/>
  <c r="F1508"/>
  <c r="F1507"/>
  <c r="F1506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69"/>
  <c r="F1468"/>
  <c r="F1467" s="1"/>
  <c r="F1465"/>
  <c r="F1464"/>
  <c r="F1463"/>
  <c r="F1462"/>
  <c r="F1461"/>
  <c r="F1460"/>
  <c r="F1458"/>
  <c r="F1457"/>
  <c r="F1456"/>
  <c r="F1455"/>
  <c r="F1454"/>
  <c r="F1453"/>
  <c r="F1452"/>
  <c r="F1451"/>
  <c r="F1450"/>
  <c r="F1449"/>
  <c r="F1448"/>
  <c r="F1445"/>
  <c r="F1444"/>
  <c r="F1443"/>
  <c r="F1442"/>
  <c r="F1441"/>
  <c r="F1436"/>
  <c r="F1435"/>
  <c r="F1434"/>
  <c r="F1428"/>
  <c r="F1426"/>
  <c r="F1425" s="1"/>
  <c r="F1424" s="1"/>
  <c r="F1422"/>
  <c r="F1421" s="1"/>
  <c r="F1419"/>
  <c r="F1418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5"/>
  <c r="F1384" s="1"/>
  <c r="F1382"/>
  <c r="F1381"/>
  <c r="F1380"/>
  <c r="F1379"/>
  <c r="F1377"/>
  <c r="F1376"/>
  <c r="F1375"/>
  <c r="F1374"/>
  <c r="F1373"/>
  <c r="F1372"/>
  <c r="F1371"/>
  <c r="F1370"/>
  <c r="F1369"/>
  <c r="F1368"/>
  <c r="F1367"/>
  <c r="F1364"/>
  <c r="F1363"/>
  <c r="F1362"/>
  <c r="F1361"/>
  <c r="F1360"/>
  <c r="F1355"/>
  <c r="F1354" s="1"/>
  <c r="F1353" s="1"/>
  <c r="F1352" s="1"/>
  <c r="F1351"/>
  <c r="F1350" s="1"/>
  <c r="F1349" s="1"/>
  <c r="F1348" s="1"/>
  <c r="F1347"/>
  <c r="F1346" s="1"/>
  <c r="F1345" s="1"/>
  <c r="F1343"/>
  <c r="F1342"/>
  <c r="F1339"/>
  <c r="F1338" s="1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6"/>
  <c r="F1315"/>
  <c r="F1314"/>
  <c r="F1313"/>
  <c r="F1312"/>
  <c r="F1307"/>
  <c r="F1306" s="1"/>
  <c r="F1304"/>
  <c r="F1303" s="1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3"/>
  <c r="F1282"/>
  <c r="F1281"/>
  <c r="F1280"/>
  <c r="F1279"/>
  <c r="F1274"/>
  <c r="F1273" s="1"/>
  <c r="F1272" s="1"/>
  <c r="F1271" s="1"/>
  <c r="F1270"/>
  <c r="F1269" s="1"/>
  <c r="F1268" s="1"/>
  <c r="F1267" s="1"/>
  <c r="F1265"/>
  <c r="F1264" s="1"/>
  <c r="F1262"/>
  <c r="F1261" s="1"/>
  <c r="F1257"/>
  <c r="F1256" s="1"/>
  <c r="F1255" s="1"/>
  <c r="F1254" s="1"/>
  <c r="F1253" s="1"/>
  <c r="F1251"/>
  <c r="F1250" s="1"/>
  <c r="F1247"/>
  <c r="F1246"/>
  <c r="F1244"/>
  <c r="F1243"/>
  <c r="F1238"/>
  <c r="F1237"/>
  <c r="F1236" s="1"/>
  <c r="F1235" s="1"/>
  <c r="F1234"/>
  <c r="F1233" s="1"/>
  <c r="F1232" s="1"/>
  <c r="F1231" s="1"/>
  <c r="F1230" s="1"/>
  <c r="F1229"/>
  <c r="F1228" s="1"/>
  <c r="F1226"/>
  <c r="F1225" s="1"/>
  <c r="F1224" s="1"/>
  <c r="F1223" s="1"/>
  <c r="F1222" s="1"/>
  <c r="F1220"/>
  <c r="F1219" s="1"/>
  <c r="F1218" s="1"/>
  <c r="F1217"/>
  <c r="F1216" s="1"/>
  <c r="F1215" s="1"/>
  <c r="F1212"/>
  <c r="F1211" s="1"/>
  <c r="F1209"/>
  <c r="F1208" s="1"/>
  <c r="F1207" s="1"/>
  <c r="F1205"/>
  <c r="F1204" s="1"/>
  <c r="F1203" s="1"/>
  <c r="F1201"/>
  <c r="F1200" s="1"/>
  <c r="F1811" s="1"/>
  <c r="F1197"/>
  <c r="F1196" s="1"/>
  <c r="F1195" s="1"/>
  <c r="F1193"/>
  <c r="F1192" s="1"/>
  <c r="F1191" s="1"/>
  <c r="F1188"/>
  <c r="F1187" s="1"/>
  <c r="F1185"/>
  <c r="F1184" s="1"/>
  <c r="F1183" s="1"/>
  <c r="F1180"/>
  <c r="F1179" s="1"/>
  <c r="F1178" s="1"/>
  <c r="F1177" s="1"/>
  <c r="F1176"/>
  <c r="F1175" s="1"/>
  <c r="F1174" s="1"/>
  <c r="F1173" s="1"/>
  <c r="F1171"/>
  <c r="F1169" s="1"/>
  <c r="F1168" s="1"/>
  <c r="F1166"/>
  <c r="F1165"/>
  <c r="F1164"/>
  <c r="F1163"/>
  <c r="F1162"/>
  <c r="F1161"/>
  <c r="F1160"/>
  <c r="F1159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4"/>
  <c r="F1133"/>
  <c r="F1132"/>
  <c r="F1129"/>
  <c r="F1128"/>
  <c r="F1126"/>
  <c r="F1125"/>
  <c r="F1124"/>
  <c r="F1123"/>
  <c r="F1121"/>
  <c r="F1120"/>
  <c r="F1119"/>
  <c r="F1118"/>
  <c r="F1117" s="1"/>
  <c r="F1116" s="1"/>
  <c r="F1113"/>
  <c r="F1112"/>
  <c r="F1111" s="1"/>
  <c r="F1109"/>
  <c r="F1108" s="1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7"/>
  <c r="F1086"/>
  <c r="F1085"/>
  <c r="F1084"/>
  <c r="F1083"/>
  <c r="F1078"/>
  <c r="F1077"/>
  <c r="F1076"/>
  <c r="F1075"/>
  <c r="F1071"/>
  <c r="F1070"/>
  <c r="F1065"/>
  <c r="F1064"/>
  <c r="F1063"/>
  <c r="F1062"/>
  <c r="F1061"/>
  <c r="F1060"/>
  <c r="F1059"/>
  <c r="F1058"/>
  <c r="F1057"/>
  <c r="F1056"/>
  <c r="F1055"/>
  <c r="F1054"/>
  <c r="F1051"/>
  <c r="F1049" s="1"/>
  <c r="F1050"/>
  <c r="F1044"/>
  <c r="F1043"/>
  <c r="F1041"/>
  <c r="F1039"/>
  <c r="F1038"/>
  <c r="F1037"/>
  <c r="F1036"/>
  <c r="F1033" s="1"/>
  <c r="F1035"/>
  <c r="F1034"/>
  <c r="F1030"/>
  <c r="F1029"/>
  <c r="F1028"/>
  <c r="F1027"/>
  <c r="F1022"/>
  <c r="F1021" s="1"/>
  <c r="F1019"/>
  <c r="F1018"/>
  <c r="F1017"/>
  <c r="F1016"/>
  <c r="F1015"/>
  <c r="F1014"/>
  <c r="F1013"/>
  <c r="F1012"/>
  <c r="F1011"/>
  <c r="F1010"/>
  <c r="F1009"/>
  <c r="F1006" s="1"/>
  <c r="F1008"/>
  <c r="F1007"/>
  <c r="F1004"/>
  <c r="F1003"/>
  <c r="F1002"/>
  <c r="F1001"/>
  <c r="F1000"/>
  <c r="F995"/>
  <c r="F994" s="1"/>
  <c r="F993" s="1"/>
  <c r="F991"/>
  <c r="F990" s="1"/>
  <c r="F988"/>
  <c r="F987"/>
  <c r="F986"/>
  <c r="F985"/>
  <c r="F984"/>
  <c r="F983"/>
  <c r="F982"/>
  <c r="F981"/>
  <c r="F980"/>
  <c r="F979"/>
  <c r="F977"/>
  <c r="F976"/>
  <c r="F975"/>
  <c r="F974"/>
  <c r="F973"/>
  <c r="F972"/>
  <c r="F971"/>
  <c r="F968"/>
  <c r="F967"/>
  <c r="F966"/>
  <c r="F964"/>
  <c r="F959"/>
  <c r="F958" s="1"/>
  <c r="F956"/>
  <c r="F955"/>
  <c r="F954"/>
  <c r="F953"/>
  <c r="F950"/>
  <c r="F949"/>
  <c r="F948"/>
  <c r="F947"/>
  <c r="F942"/>
  <c r="F941" s="1"/>
  <c r="F939"/>
  <c r="F938"/>
  <c r="F937"/>
  <c r="F936"/>
  <c r="F933"/>
  <c r="F932"/>
  <c r="F931"/>
  <c r="F930"/>
  <c r="F925"/>
  <c r="F924" s="1"/>
  <c r="F922"/>
  <c r="F921"/>
  <c r="F920"/>
  <c r="F919"/>
  <c r="F918"/>
  <c r="F917"/>
  <c r="F916"/>
  <c r="F915"/>
  <c r="F914"/>
  <c r="F913"/>
  <c r="F912"/>
  <c r="F911"/>
  <c r="F908"/>
  <c r="F907"/>
  <c r="F906"/>
  <c r="F905"/>
  <c r="F899"/>
  <c r="F898" s="1"/>
  <c r="F895"/>
  <c r="F894" s="1"/>
  <c r="F891"/>
  <c r="F890" s="1"/>
  <c r="F889" s="1"/>
  <c r="F887"/>
  <c r="F886" s="1"/>
  <c r="F885" s="1"/>
  <c r="F884" s="1"/>
  <c r="F883" s="1"/>
  <c r="F882" s="1"/>
  <c r="F881"/>
  <c r="F1806" s="1"/>
  <c r="F880"/>
  <c r="F879" s="1"/>
  <c r="F878" s="1"/>
  <c r="F877"/>
  <c r="F1807" s="1"/>
  <c r="F872"/>
  <c r="F871" s="1"/>
  <c r="F870" s="1"/>
  <c r="F869" s="1"/>
  <c r="F868"/>
  <c r="F867" s="1"/>
  <c r="F866" s="1"/>
  <c r="F865" s="1"/>
  <c r="F864"/>
  <c r="F863" s="1"/>
  <c r="F862" s="1"/>
  <c r="F859"/>
  <c r="F858" s="1"/>
  <c r="F856"/>
  <c r="F855" s="1"/>
  <c r="F854" s="1"/>
  <c r="F851"/>
  <c r="F850" s="1"/>
  <c r="F849" s="1"/>
  <c r="F847"/>
  <c r="F846" s="1"/>
  <c r="F845" s="1"/>
  <c r="F844" s="1"/>
  <c r="F843" s="1"/>
  <c r="F842" s="1"/>
  <c r="F841"/>
  <c r="F840"/>
  <c r="F839"/>
  <c r="F838" s="1"/>
  <c r="F836"/>
  <c r="F835"/>
  <c r="F834"/>
  <c r="F830"/>
  <c r="F829"/>
  <c r="F826"/>
  <c r="F825"/>
  <c r="F819"/>
  <c r="F817"/>
  <c r="F813"/>
  <c r="F811"/>
  <c r="F810"/>
  <c r="F808"/>
  <c r="F807"/>
  <c r="F805"/>
  <c r="F802"/>
  <c r="F801" s="1"/>
  <c r="F799"/>
  <c r="F798" s="1"/>
  <c r="F796"/>
  <c r="F795"/>
  <c r="F794"/>
  <c r="F793"/>
  <c r="F792"/>
  <c r="F791"/>
  <c r="F790"/>
  <c r="F789"/>
  <c r="F786"/>
  <c r="F785"/>
  <c r="F784"/>
  <c r="F779"/>
  <c r="F778" s="1"/>
  <c r="F777" s="1"/>
  <c r="F776" s="1"/>
  <c r="F775"/>
  <c r="F774" s="1"/>
  <c r="F773" s="1"/>
  <c r="F770"/>
  <c r="F767"/>
  <c r="F765"/>
  <c r="F764"/>
  <c r="F763"/>
  <c r="F762"/>
  <c r="F759"/>
  <c r="F758" s="1"/>
  <c r="F734"/>
  <c r="F733"/>
  <c r="F732"/>
  <c r="F731"/>
  <c r="F730"/>
  <c r="F729"/>
  <c r="F723"/>
  <c r="F722"/>
  <c r="F721" s="1"/>
  <c r="F719"/>
  <c r="F718"/>
  <c r="F717"/>
  <c r="F716" s="1"/>
  <c r="F712"/>
  <c r="F711"/>
  <c r="F708"/>
  <c r="F707"/>
  <c r="F706"/>
  <c r="F704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1"/>
  <c r="F660" s="1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6"/>
  <c r="F635"/>
  <c r="F634"/>
  <c r="F633"/>
  <c r="F632"/>
  <c r="F627"/>
  <c r="F626" s="1"/>
  <c r="F624"/>
  <c r="F623"/>
  <c r="F622"/>
  <c r="F619"/>
  <c r="F618" s="1"/>
  <c r="F614"/>
  <c r="F613"/>
  <c r="F606"/>
  <c r="F603"/>
  <c r="F602"/>
  <c r="F601"/>
  <c r="F600"/>
  <c r="F599"/>
  <c r="F565"/>
  <c r="F564" s="1"/>
  <c r="F563" s="1"/>
  <c r="F562" s="1"/>
  <c r="F561"/>
  <c r="F560"/>
  <c r="F559"/>
  <c r="F555"/>
  <c r="F554"/>
  <c r="F553"/>
  <c r="F549"/>
  <c r="F548"/>
  <c r="F547"/>
  <c r="F546"/>
  <c r="F545"/>
  <c r="F544"/>
  <c r="F543"/>
  <c r="F537"/>
  <c r="F536" s="1"/>
  <c r="F535" s="1"/>
  <c r="F533"/>
  <c r="F532" s="1"/>
  <c r="F531" s="1"/>
  <c r="F530" s="1"/>
  <c r="F528"/>
  <c r="F527" s="1"/>
  <c r="F526" s="1"/>
  <c r="F525" s="1"/>
  <c r="F524" s="1"/>
  <c r="F523"/>
  <c r="F522" s="1"/>
  <c r="F521" s="1"/>
  <c r="F519"/>
  <c r="F518" s="1"/>
  <c r="F516"/>
  <c r="F514"/>
  <c r="F513"/>
  <c r="F512"/>
  <c r="F511"/>
  <c r="F510"/>
  <c r="F509"/>
  <c r="F508"/>
  <c r="F507"/>
  <c r="F506"/>
  <c r="F505"/>
  <c r="F504"/>
  <c r="F501"/>
  <c r="F500"/>
  <c r="F499"/>
  <c r="F498"/>
  <c r="F497"/>
  <c r="F492"/>
  <c r="F491" s="1"/>
  <c r="F490" s="1"/>
  <c r="F489" s="1"/>
  <c r="F488" s="1"/>
  <c r="F487"/>
  <c r="F486" s="1"/>
  <c r="F485" s="1"/>
  <c r="F483"/>
  <c r="F482" s="1"/>
  <c r="F480"/>
  <c r="F479"/>
  <c r="F478"/>
  <c r="F477"/>
  <c r="F476"/>
  <c r="F474"/>
  <c r="F473"/>
  <c r="F472"/>
  <c r="F471"/>
  <c r="F470"/>
  <c r="F469"/>
  <c r="F468"/>
  <c r="F467"/>
  <c r="F466"/>
  <c r="F465"/>
  <c r="F464"/>
  <c r="F461"/>
  <c r="F460"/>
  <c r="F459"/>
  <c r="F458"/>
  <c r="F457"/>
  <c r="F451"/>
  <c r="F450"/>
  <c r="F449"/>
  <c r="F448"/>
  <c r="F447"/>
  <c r="F446"/>
  <c r="F445"/>
  <c r="F444"/>
  <c r="F443"/>
  <c r="F442"/>
  <c r="F436"/>
  <c r="F435"/>
  <c r="F434"/>
  <c r="F433"/>
  <c r="F432"/>
  <c r="F431"/>
  <c r="F428"/>
  <c r="F427"/>
  <c r="F426"/>
  <c r="F425"/>
  <c r="F424"/>
  <c r="F423"/>
  <c r="F415"/>
  <c r="F414"/>
  <c r="F419"/>
  <c r="F418"/>
  <c r="F417"/>
  <c r="F416"/>
  <c r="F413"/>
  <c r="F412"/>
  <c r="F411"/>
  <c r="F410"/>
  <c r="F409"/>
  <c r="F408"/>
  <c r="F403"/>
  <c r="F402" s="1"/>
  <c r="F401" s="1"/>
  <c r="F400" s="1"/>
  <c r="F399" s="1"/>
  <c r="F397"/>
  <c r="F396" s="1"/>
  <c r="F395" s="1"/>
  <c r="F394" s="1"/>
  <c r="F393" s="1"/>
  <c r="F392"/>
  <c r="F391" s="1"/>
  <c r="F390" s="1"/>
  <c r="F389" s="1"/>
  <c r="F388"/>
  <c r="F387" s="1"/>
  <c r="F386" s="1"/>
  <c r="F385" s="1"/>
  <c r="F383"/>
  <c r="F382" s="1"/>
  <c r="F381" s="1"/>
  <c r="F380"/>
  <c r="F379"/>
  <c r="F378"/>
  <c r="F377"/>
  <c r="F376"/>
  <c r="F373"/>
  <c r="F372"/>
  <c r="F371"/>
  <c r="F370"/>
  <c r="F369"/>
  <c r="F368"/>
  <c r="F364"/>
  <c r="F363" s="1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38"/>
  <c r="F337"/>
  <c r="F336"/>
  <c r="F335"/>
  <c r="F334"/>
  <c r="F329"/>
  <c r="F328" s="1"/>
  <c r="F327" s="1"/>
  <c r="F326" s="1"/>
  <c r="F325" s="1"/>
  <c r="F324"/>
  <c r="F323" s="1"/>
  <c r="F322" s="1"/>
  <c r="F321" s="1"/>
  <c r="F320"/>
  <c r="F319"/>
  <c r="F318"/>
  <c r="F315"/>
  <c r="F314"/>
  <c r="F313"/>
  <c r="F309"/>
  <c r="F307" s="1"/>
  <c r="F305"/>
  <c r="F304" s="1"/>
  <c r="F302"/>
  <c r="F301"/>
  <c r="F300"/>
  <c r="F292"/>
  <c r="F291"/>
  <c r="F290"/>
  <c r="F289"/>
  <c r="F288"/>
  <c r="F287"/>
  <c r="F286"/>
  <c r="F285"/>
  <c r="F284"/>
  <c r="F283"/>
  <c r="F280"/>
  <c r="F279"/>
  <c r="F278"/>
  <c r="F272"/>
  <c r="F271" s="1"/>
  <c r="F270" s="1"/>
  <c r="F269" s="1"/>
  <c r="F267"/>
  <c r="F266" s="1"/>
  <c r="F265" s="1"/>
  <c r="F263"/>
  <c r="F262" s="1"/>
  <c r="F261" s="1"/>
  <c r="F260" s="1"/>
  <c r="F259"/>
  <c r="F258" s="1"/>
  <c r="F257" s="1"/>
  <c r="F255"/>
  <c r="F254" s="1"/>
  <c r="F253" s="1"/>
  <c r="F252" s="1"/>
  <c r="F250"/>
  <c r="F249"/>
  <c r="F247"/>
  <c r="F246"/>
  <c r="F245"/>
  <c r="F244"/>
  <c r="F236"/>
  <c r="F235"/>
  <c r="F233"/>
  <c r="F232"/>
  <c r="F230"/>
  <c r="F229"/>
  <c r="F228"/>
  <c r="F227"/>
  <c r="F226"/>
  <c r="F225"/>
  <c r="F224"/>
  <c r="F223"/>
  <c r="F222"/>
  <c r="F221"/>
  <c r="F216"/>
  <c r="F215" s="1"/>
  <c r="F214" s="1"/>
  <c r="F212"/>
  <c r="F211" s="1"/>
  <c r="F209"/>
  <c r="F208"/>
  <c r="F207"/>
  <c r="F206"/>
  <c r="F201"/>
  <c r="F200" s="1"/>
  <c r="F197"/>
  <c r="F196"/>
  <c r="F192"/>
  <c r="F191"/>
  <c r="F190"/>
  <c r="F186"/>
  <c r="F185"/>
  <c r="F182"/>
  <c r="F181"/>
  <c r="F176"/>
  <c r="F175"/>
  <c r="F174"/>
  <c r="F171"/>
  <c r="F170"/>
  <c r="F169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28"/>
  <c r="F127" s="1"/>
  <c r="F124"/>
  <c r="F123"/>
  <c r="F122"/>
  <c r="F119"/>
  <c r="F118"/>
  <c r="F117"/>
  <c r="F113"/>
  <c r="F112" s="1"/>
  <c r="F110"/>
  <c r="F109"/>
  <c r="F108"/>
  <c r="F107"/>
  <c r="F106"/>
  <c r="F105"/>
  <c r="F104"/>
  <c r="F103"/>
  <c r="F102"/>
  <c r="F101"/>
  <c r="F98"/>
  <c r="F97"/>
  <c r="F96"/>
  <c r="F95"/>
  <c r="F94"/>
  <c r="F89"/>
  <c r="F88" s="1"/>
  <c r="F87" s="1"/>
  <c r="F85"/>
  <c r="F84" s="1"/>
  <c r="F82"/>
  <c r="F81"/>
  <c r="F80"/>
  <c r="F79"/>
  <c r="F78"/>
  <c r="F77"/>
  <c r="F76"/>
  <c r="F75"/>
  <c r="F74"/>
  <c r="F73"/>
  <c r="F72"/>
  <c r="F71"/>
  <c r="F70"/>
  <c r="F69"/>
  <c r="F68"/>
  <c r="F67"/>
  <c r="F66"/>
  <c r="F63"/>
  <c r="F62"/>
  <c r="F61"/>
  <c r="F60"/>
  <c r="F59"/>
  <c r="F54"/>
  <c r="F53"/>
  <c r="F52"/>
  <c r="F51" s="1"/>
  <c r="F50"/>
  <c r="F49"/>
  <c r="F48"/>
  <c r="F43"/>
  <c r="F41" s="1"/>
  <c r="F38"/>
  <c r="F37" s="1"/>
  <c r="F35"/>
  <c r="F34"/>
  <c r="F33"/>
  <c r="F32"/>
  <c r="F31"/>
  <c r="F30"/>
  <c r="F29"/>
  <c r="F28"/>
  <c r="F27"/>
  <c r="F26"/>
  <c r="F25"/>
  <c r="F24"/>
  <c r="F23"/>
  <c r="F22"/>
  <c r="F20"/>
  <c r="F19"/>
  <c r="F18"/>
  <c r="F15"/>
  <c r="F14"/>
  <c r="F13"/>
  <c r="F12"/>
  <c r="F11"/>
  <c r="F715" l="1"/>
  <c r="F714" s="1"/>
  <c r="F713" s="1"/>
  <c r="F999"/>
  <c r="F998" s="1"/>
  <c r="F997" s="1"/>
  <c r="F996" s="1"/>
  <c r="F1026"/>
  <c r="F1136"/>
  <c r="F1318"/>
  <c r="F1310" s="1"/>
  <c r="F1745"/>
  <c r="E293" i="47"/>
  <c r="E354"/>
  <c r="F621" i="46"/>
  <c r="F617" s="1"/>
  <c r="F616" s="1"/>
  <c r="F615" s="1"/>
  <c r="F1311"/>
  <c r="E334" i="47"/>
  <c r="F180" i="46"/>
  <c r="F179" s="1"/>
  <c r="F178" s="1"/>
  <c r="F177" s="1"/>
  <c r="F220"/>
  <c r="F219" s="1"/>
  <c r="F218" s="1"/>
  <c r="F217" s="1"/>
  <c r="F422"/>
  <c r="F421" s="1"/>
  <c r="F710"/>
  <c r="F1131"/>
  <c r="F1210"/>
  <c r="F1573"/>
  <c r="F1673"/>
  <c r="F1672" s="1"/>
  <c r="F1671" s="1"/>
  <c r="F1695"/>
  <c r="F1722"/>
  <c r="F1793"/>
  <c r="E147" i="47"/>
  <c r="E236"/>
  <c r="E211" s="1"/>
  <c r="E338"/>
  <c r="E278"/>
  <c r="E308"/>
  <c r="F65" i="46"/>
  <c r="F93"/>
  <c r="F761"/>
  <c r="F757" s="1"/>
  <c r="F756" s="1"/>
  <c r="F755" s="1"/>
  <c r="F935"/>
  <c r="F1388"/>
  <c r="F1387" s="1"/>
  <c r="F1386" s="1"/>
  <c r="F1512"/>
  <c r="F1511" s="1"/>
  <c r="F277"/>
  <c r="F276" s="1"/>
  <c r="F833"/>
  <c r="F832" s="1"/>
  <c r="F946"/>
  <c r="F945" s="1"/>
  <c r="F944" s="1"/>
  <c r="F943" s="1"/>
  <c r="E335" i="47"/>
  <c r="F1089" i="46"/>
  <c r="F1115"/>
  <c r="E364" i="47"/>
  <c r="F375" i="46"/>
  <c r="F1366"/>
  <c r="F1530"/>
  <c r="F1526" s="1"/>
  <c r="F1525" s="1"/>
  <c r="F1655"/>
  <c r="F1654" s="1"/>
  <c r="F1752"/>
  <c r="E200" i="47"/>
  <c r="F367" i="46"/>
  <c r="F366" s="1"/>
  <c r="F407"/>
  <c r="F406" s="1"/>
  <c r="F405" s="1"/>
  <c r="F404" s="1"/>
  <c r="F398" s="1"/>
  <c r="F496"/>
  <c r="F857"/>
  <c r="F848" s="1"/>
  <c r="F876"/>
  <c r="F875" s="1"/>
  <c r="F874" s="1"/>
  <c r="F873" s="1"/>
  <c r="F1242"/>
  <c r="F1241" s="1"/>
  <c r="F1240" s="1"/>
  <c r="F1239" s="1"/>
  <c r="F1285"/>
  <c r="F1341"/>
  <c r="F1440"/>
  <c r="F1439" s="1"/>
  <c r="F1438" s="1"/>
  <c r="F1437" s="1"/>
  <c r="F1471"/>
  <c r="F1611"/>
  <c r="F1682"/>
  <c r="F1681" s="1"/>
  <c r="F1692"/>
  <c r="F1691" s="1"/>
  <c r="F1690" s="1"/>
  <c r="F1706"/>
  <c r="F1705" s="1"/>
  <c r="F1704" s="1"/>
  <c r="F1733"/>
  <c r="F1732" s="1"/>
  <c r="F1731" s="1"/>
  <c r="F1785"/>
  <c r="E33" i="47"/>
  <c r="E8" s="1"/>
  <c r="E73"/>
  <c r="E72" s="1"/>
  <c r="E126"/>
  <c r="F1804" i="46"/>
  <c r="F17"/>
  <c r="F47"/>
  <c r="F46" s="1"/>
  <c r="F45" s="1"/>
  <c r="F44" s="1"/>
  <c r="F121"/>
  <c r="F131"/>
  <c r="F130" s="1"/>
  <c r="F168"/>
  <c r="F167" s="1"/>
  <c r="F195"/>
  <c r="F194" s="1"/>
  <c r="F193" s="1"/>
  <c r="F205"/>
  <c r="F204" s="1"/>
  <c r="F203" s="1"/>
  <c r="F202" s="1"/>
  <c r="F299"/>
  <c r="F298" s="1"/>
  <c r="F297" s="1"/>
  <c r="F317"/>
  <c r="F333"/>
  <c r="F441"/>
  <c r="F440" s="1"/>
  <c r="F439" s="1"/>
  <c r="F438" s="1"/>
  <c r="F437" s="1"/>
  <c r="F456"/>
  <c r="F455" s="1"/>
  <c r="F454" s="1"/>
  <c r="F453" s="1"/>
  <c r="F542"/>
  <c r="F541" s="1"/>
  <c r="F540" s="1"/>
  <c r="F558"/>
  <c r="F598"/>
  <c r="F631"/>
  <c r="F663"/>
  <c r="F804"/>
  <c r="F904"/>
  <c r="F910"/>
  <c r="F929"/>
  <c r="F928" s="1"/>
  <c r="F927" s="1"/>
  <c r="F926" s="1"/>
  <c r="F970"/>
  <c r="F1260"/>
  <c r="F1259" s="1"/>
  <c r="F1258" s="1"/>
  <c r="F1278"/>
  <c r="F1277" s="1"/>
  <c r="F1359"/>
  <c r="F1358" s="1"/>
  <c r="F1357" s="1"/>
  <c r="F1356" s="1"/>
  <c r="F1433"/>
  <c r="F1432" s="1"/>
  <c r="F1431" s="1"/>
  <c r="F1447"/>
  <c r="F1579"/>
  <c r="F1572" s="1"/>
  <c r="F1571" s="1"/>
  <c r="F1570" s="1"/>
  <c r="F1592"/>
  <c r="F1591" s="1"/>
  <c r="F1590" s="1"/>
  <c r="F1638"/>
  <c r="F1637" s="1"/>
  <c r="F1636" s="1"/>
  <c r="F1635" s="1"/>
  <c r="F1025"/>
  <c r="F1024" s="1"/>
  <c r="F1023" s="1"/>
  <c r="F1687"/>
  <c r="F1686" s="1"/>
  <c r="F1680" s="1"/>
  <c r="F1715"/>
  <c r="F1714" s="1"/>
  <c r="F1182"/>
  <c r="F1181" s="1"/>
  <c r="F1172" s="1"/>
  <c r="F1114"/>
  <c r="F1744"/>
  <c r="F1743" s="1"/>
  <c r="F1742" s="1"/>
  <c r="F1741" s="1"/>
  <c r="F10"/>
  <c r="F58"/>
  <c r="F100"/>
  <c r="F92" s="1"/>
  <c r="F91" s="1"/>
  <c r="F116"/>
  <c r="F115" s="1"/>
  <c r="F173"/>
  <c r="F184"/>
  <c r="F189"/>
  <c r="F188" s="1"/>
  <c r="F282"/>
  <c r="F312"/>
  <c r="F311" s="1"/>
  <c r="F340"/>
  <c r="F332" s="1"/>
  <c r="F331" s="1"/>
  <c r="F330" s="1"/>
  <c r="F430"/>
  <c r="F463"/>
  <c r="F503"/>
  <c r="F552"/>
  <c r="F551" s="1"/>
  <c r="F605"/>
  <c r="F597" s="1"/>
  <c r="F596" s="1"/>
  <c r="F595" s="1"/>
  <c r="F638"/>
  <c r="F703"/>
  <c r="F702" s="1"/>
  <c r="F726"/>
  <c r="F725" s="1"/>
  <c r="F724" s="1"/>
  <c r="F788"/>
  <c r="F783" s="1"/>
  <c r="F782" s="1"/>
  <c r="F781" s="1"/>
  <c r="F893"/>
  <c r="F952"/>
  <c r="F963"/>
  <c r="F1082"/>
  <c r="F1081" s="1"/>
  <c r="F1080" s="1"/>
  <c r="F1079" s="1"/>
  <c r="F1627"/>
  <c r="F1626" s="1"/>
  <c r="F1625" s="1"/>
  <c r="F1624" s="1"/>
  <c r="F1649"/>
  <c r="F1648" s="1"/>
  <c r="F1647" s="1"/>
  <c r="F1664"/>
  <c r="F1663" s="1"/>
  <c r="F1662" s="1"/>
  <c r="F1780"/>
  <c r="F1779" s="1"/>
  <c r="F1778" s="1"/>
  <c r="F1777" s="1"/>
  <c r="F126"/>
  <c r="F125" s="1"/>
  <c r="F1202"/>
  <c r="F40"/>
  <c r="F251"/>
  <c r="F264"/>
  <c r="F529"/>
  <c r="F630"/>
  <c r="F629" s="1"/>
  <c r="F628" s="1"/>
  <c r="F1190"/>
  <c r="F1276"/>
  <c r="F1275" s="1"/>
  <c r="F1713"/>
  <c r="F1730"/>
  <c r="F1199"/>
  <c r="F1198" s="1"/>
  <c r="F1805" l="1"/>
  <c r="E332" i="47"/>
  <c r="F57" i="46"/>
  <c r="F56" s="1"/>
  <c r="F55" s="1"/>
  <c r="F1569"/>
  <c r="F129"/>
  <c r="F296"/>
  <c r="F1810"/>
  <c r="F1801"/>
  <c r="F1619"/>
  <c r="F275"/>
  <c r="F274" s="1"/>
  <c r="F273" s="1"/>
  <c r="F495"/>
  <c r="F494" s="1"/>
  <c r="F493" s="1"/>
  <c r="F9"/>
  <c r="F8" s="1"/>
  <c r="F7" s="1"/>
  <c r="F6" s="1"/>
  <c r="F90"/>
  <c r="F539"/>
  <c r="F538" s="1"/>
  <c r="F1803"/>
  <c r="F962"/>
  <c r="F961" s="1"/>
  <c r="F960" s="1"/>
  <c r="F903"/>
  <c r="F902" s="1"/>
  <c r="F901" s="1"/>
  <c r="F892" s="1"/>
  <c r="F1309"/>
  <c r="F1308" s="1"/>
  <c r="F1266" s="1"/>
  <c r="F1802"/>
  <c r="F1809"/>
  <c r="F1808" s="1"/>
  <c r="F1653"/>
  <c r="F1430"/>
  <c r="F295"/>
  <c r="F452"/>
  <c r="F1189"/>
  <c r="F594"/>
  <c r="F1800" l="1"/>
  <c r="F1799" s="1"/>
  <c r="F1796"/>
  <c r="E25" i="38"/>
  <c r="G10" i="41" l="1"/>
  <c r="H10"/>
  <c r="F19" i="39"/>
  <c r="E19"/>
  <c r="E31" i="38"/>
  <c r="E20"/>
  <c r="E14"/>
  <c r="F48" i="37"/>
  <c r="F24"/>
  <c r="E29" i="38" l="1"/>
  <c r="C4" i="44" l="1"/>
  <c r="D4"/>
  <c r="C7"/>
  <c r="D7"/>
  <c r="C15"/>
  <c r="D15"/>
  <c r="C22"/>
  <c r="D22"/>
  <c r="C24"/>
  <c r="D24"/>
  <c r="C29"/>
  <c r="D29"/>
  <c r="J7" i="43"/>
  <c r="J6" s="1"/>
  <c r="H16"/>
  <c r="H18" s="1"/>
  <c r="I16"/>
  <c r="J16"/>
  <c r="K16"/>
  <c r="G17"/>
  <c r="G16" s="1"/>
  <c r="G18" s="1"/>
  <c r="I18"/>
  <c r="J18"/>
  <c r="K18"/>
  <c r="F7" i="42"/>
  <c r="G7"/>
  <c r="G9" s="1"/>
  <c r="E8"/>
  <c r="E7" s="1"/>
  <c r="E9" s="1"/>
  <c r="F9"/>
  <c r="F8" i="41"/>
  <c r="F10" s="1"/>
  <c r="E9"/>
  <c r="E8" s="1"/>
  <c r="E10" s="1"/>
  <c r="D6" i="40"/>
  <c r="E6"/>
  <c r="E7" i="38"/>
  <c r="E11"/>
  <c r="E12"/>
  <c r="E13"/>
  <c r="E22"/>
  <c r="E23"/>
  <c r="E24"/>
  <c r="E30"/>
  <c r="G39"/>
  <c r="H39"/>
  <c r="F13" i="37"/>
  <c r="F16"/>
  <c r="F33"/>
  <c r="F35"/>
  <c r="F49"/>
  <c r="D31" i="44" l="1"/>
  <c r="C31"/>
  <c r="F22" i="37"/>
  <c r="F36"/>
  <c r="E39" i="38"/>
  <c r="F17" i="43"/>
  <c r="F16" s="1"/>
  <c r="F18" s="1"/>
  <c r="J10"/>
</calcChain>
</file>

<file path=xl/sharedStrings.xml><?xml version="1.0" encoding="utf-8"?>
<sst xmlns="http://schemas.openxmlformats.org/spreadsheetml/2006/main" count="5325" uniqueCount="1075">
  <si>
    <t>Dział</t>
  </si>
  <si>
    <t>Rozdział</t>
  </si>
  <si>
    <t>w tym:</t>
  </si>
  <si>
    <t>75075</t>
  </si>
  <si>
    <t>92120</t>
  </si>
  <si>
    <t>010</t>
  </si>
  <si>
    <t>60001</t>
  </si>
  <si>
    <t>750</t>
  </si>
  <si>
    <t>Paragraf</t>
  </si>
  <si>
    <t>Promocja jednostek samorządu terytorialnego</t>
  </si>
  <si>
    <t>01042</t>
  </si>
  <si>
    <t>01095</t>
  </si>
  <si>
    <t>754</t>
  </si>
  <si>
    <t>75404</t>
  </si>
  <si>
    <t>75406</t>
  </si>
  <si>
    <t>75410</t>
  </si>
  <si>
    <t>600</t>
  </si>
  <si>
    <t>60003</t>
  </si>
  <si>
    <t>2630</t>
  </si>
  <si>
    <t>854</t>
  </si>
  <si>
    <t>85420</t>
  </si>
  <si>
    <t>Młodzieżowe ośrodki wychowawcze</t>
  </si>
  <si>
    <t>921</t>
  </si>
  <si>
    <t>92116</t>
  </si>
  <si>
    <t>Biblioteki</t>
  </si>
  <si>
    <t>851</t>
  </si>
  <si>
    <t>852</t>
  </si>
  <si>
    <t>853</t>
  </si>
  <si>
    <t>01009</t>
  </si>
  <si>
    <t>85153</t>
  </si>
  <si>
    <t>85154</t>
  </si>
  <si>
    <t>85217</t>
  </si>
  <si>
    <t>85311</t>
  </si>
  <si>
    <t>92105</t>
  </si>
  <si>
    <t>926</t>
  </si>
  <si>
    <t>92605</t>
  </si>
  <si>
    <t>2330</t>
  </si>
  <si>
    <t>85205</t>
  </si>
  <si>
    <t>dotacje na zadania bieżące</t>
  </si>
  <si>
    <t>Lp.</t>
  </si>
  <si>
    <t>DOCHODY OGÓŁEM</t>
  </si>
  <si>
    <t>KULTURA I OCHRONA DZIEDZICTWA NARODOWEGO</t>
  </si>
  <si>
    <t>ADMINISTRACJA PUBLICZNA</t>
  </si>
  <si>
    <t>majątkowe</t>
  </si>
  <si>
    <t>bieżące</t>
  </si>
  <si>
    <t>w złotych</t>
  </si>
  <si>
    <t>OGÓŁEM</t>
  </si>
  <si>
    <t>Przeznaczenie dotacji</t>
  </si>
  <si>
    <t>2. Dotacje dla jednostek spoza sektora finansów publicznych</t>
  </si>
  <si>
    <t>1. Dotacje dla jednostek sektora finansów publicznych</t>
  </si>
  <si>
    <t xml:space="preserve"> OGÓŁEM</t>
  </si>
  <si>
    <t>Razem: ZAZ</t>
  </si>
  <si>
    <t>Zakład Aktywności Zawodowej w Woli Żyrakowskiej</t>
  </si>
  <si>
    <t>Zakład Aktywności Zawodowej w Woli Dalszej</t>
  </si>
  <si>
    <t>Zakład Aktywności Zawodowej w Jarosławiu</t>
  </si>
  <si>
    <t>Zakład Aktywności Zawodowej w Woli Rafałowskiej</t>
  </si>
  <si>
    <t>Zakład Aktywności Zawodowej w Nowej Sarzynie</t>
  </si>
  <si>
    <t>Zakład Aktywności Zawodowej w Rymanowie Zdroju</t>
  </si>
  <si>
    <t>Kwota 
w złotych</t>
  </si>
  <si>
    <t>Nazwa jednostki</t>
  </si>
  <si>
    <t>Zakład Aktywności Zawodowej w Maliniu</t>
  </si>
  <si>
    <t>Razem: SPZOZ</t>
  </si>
  <si>
    <t xml:space="preserve">Wojewódzki Ośrodek Medycyny Pracy w Rzeszowie </t>
  </si>
  <si>
    <t>Razem: Szpitale ogólne</t>
  </si>
  <si>
    <t>Podkarpackie Centrum Chorób Płuc w Rzeszowie</t>
  </si>
  <si>
    <t>Wojewódzki Szpital im. Jana Pawła II w Krośnie</t>
  </si>
  <si>
    <t xml:space="preserve">Szpital Wojewódzki Nr 2 im. Św. Jadwigi Królowej w Rzeszowie </t>
  </si>
  <si>
    <t>Razem: Instytucje kultury</t>
  </si>
  <si>
    <t>Wojewódzka i Miejska Biblioteka Publiczna 
w Rzeszowie</t>
  </si>
  <si>
    <t>Arboretum i Zakład Fizjografii w Bolestraszycach</t>
  </si>
  <si>
    <t>Galeria Sztuki Współczesnej w Przemyślu</t>
  </si>
  <si>
    <t>Filharmonia Podkarpacka im. A. Malawskiego w Rzeszowie</t>
  </si>
  <si>
    <t>Teatr im. W. Siemaszkowej w Rzeszowie</t>
  </si>
  <si>
    <t>Razem: Domy kultury</t>
  </si>
  <si>
    <t>Centrum Kulturalne w Przemyślu</t>
  </si>
  <si>
    <t>Wojewódzki Dom Kultury w Rzeszowie</t>
  </si>
  <si>
    <t>Razem: Muzea</t>
  </si>
  <si>
    <t>Muzeum Marii Konopnickiej w Żarnowcu</t>
  </si>
  <si>
    <t>Muzeum Budownictwa Ludowego w Sanoku</t>
  </si>
  <si>
    <t>Muzeum Narodowe Ziemi Przemyskiej  w  Przemyślu</t>
  </si>
  <si>
    <t xml:space="preserve">Muzeum Kultury Ludowej w Kolbuszowej </t>
  </si>
  <si>
    <t>Muzeum Podkarpackie w Krośnie</t>
  </si>
  <si>
    <t>Muzeum Okręgowe w Rzeszowie</t>
  </si>
  <si>
    <t>Muzeum Zamek w Łańcucie</t>
  </si>
  <si>
    <t xml:space="preserve">SZCZEGÓŁOWY PODZIAŁ DOTACJI PODMIOTOWYCH  
DLA JEDNOSTEK SEKTORA FINANSÓW PUBLICZNYCH I JEDNOSTKEK SPOZA SEKTORA FINANSÓW PUBLICZNYCH  </t>
  </si>
  <si>
    <t xml:space="preserve">Muzeum-Zamek w Łańcucie </t>
  </si>
  <si>
    <t>Wojewódzka i Miejska Biblioteka Publiczna w Rzeszowie</t>
  </si>
  <si>
    <t xml:space="preserve">Wojewódzki Dom Kultury w Rzeszowie </t>
  </si>
  <si>
    <t xml:space="preserve">Filharmonia Podkarpacka im. Artura Malawskiego w Rzeszowie </t>
  </si>
  <si>
    <t xml:space="preserve">Wojewódzki Podkarpacki Szpital Psychiatryczny  im. prof. E. Brzezickiego w Żurawicy </t>
  </si>
  <si>
    <t>Wojewódzki Szpital im. Zofii z Zamoyskich Tarnowskiej w Tarnobrzegu</t>
  </si>
  <si>
    <t>Komenda Wojewódzka Państwowej Staży Pożarnej w Rzeszowie</t>
  </si>
  <si>
    <t>Bieszczadzki Oddział Straży Granicznej w Przemyślu</t>
  </si>
  <si>
    <t>Jednostki samorządu terytorialnego wg podziału dokonanego przez Zarząd</t>
  </si>
  <si>
    <t>w tym wydatki:</t>
  </si>
  <si>
    <t>w  złotych</t>
  </si>
  <si>
    <t xml:space="preserve">SZCZEGÓŁOWY PODZIAŁ DOTACJI CELOWYCH Z BUDŻETU DLA JEDNOSTEK SEKTORA FINANSÓW PUBLICZNYCH </t>
  </si>
  <si>
    <t xml:space="preserve">OGÓŁEM </t>
  </si>
  <si>
    <t xml:space="preserve">na zadania i cele publiczne z zakresu kultury fizycznej i sportu </t>
  </si>
  <si>
    <t>na zadania i cele z zakresu ochrony i konserwacji zabytków - szczegółowy podział dotacji zgodnie z zasadami udzielania dotacji dokonany zostanie odrębną uchwałą Sejmiku Województwa</t>
  </si>
  <si>
    <t xml:space="preserve">na zadania i cele publiczne z zakresu kultury </t>
  </si>
  <si>
    <t>na zadania i cele z zakresu rehabilitacji zawodowej i społecznej oraz zatrudniania osób niepełnosprawnych w ramach "Wojewódzkiego Programu na Rzecz Wyrównywania Szans Osób Niepełnosprawnych i Przeciwdziałania ich Wykluczeniu Społecznemu"</t>
  </si>
  <si>
    <t>na zadania i cele z zakresu pomocy społecznej w ramach "Wojewódzkiego Programu Pomocy Społecznej"</t>
  </si>
  <si>
    <t>na zadania i cele publiczne z zakresu przeciwdziałania narkomanii w ramach "Wojewódzkiego Programu Przeciwdziałania Narkomanii"</t>
  </si>
  <si>
    <t xml:space="preserve">na zadania i cele publiczne z zakresu ratownictwa górskiego i wodnego </t>
  </si>
  <si>
    <t>na rekompensatę  z tytułu wykonywania kolejowych przewozów osób</t>
  </si>
  <si>
    <t>na zadania w zakresie bieżącego utrzymania wód i urządzeń wodnych dla spółek wodnych  funcjonujących na terenie województwa podkarpackiego</t>
  </si>
  <si>
    <t>w  tym :  
DOTACJE</t>
  </si>
  <si>
    <t xml:space="preserve">Wydatki  bieżące </t>
  </si>
  <si>
    <t xml:space="preserve"> PODZIAŁ  DOTACJI  CELOWYCH NA  ZADANIA  PUBLICZNE  ZLECONE DO  REALIZACJI  JEDNOSKOM SPOZA SEKTORA FINANSÓW PUBLICZNYCH ORAZ NA  CELE  PUBLICZNE ZWIĄZANE  Z  REALIZACJĄ  ZADAŃ SAMORZĄDU  WOJEWÓDZTWA</t>
  </si>
  <si>
    <t xml:space="preserve">Zakres </t>
  </si>
  <si>
    <t>w  tym :  DOTACJE</t>
  </si>
  <si>
    <t xml:space="preserve"> WYKAZ DOTACJI  PRZEDMIOTOWYCH DLA JEDNOSTEK SPOZA SEKTORA FINANSÓW PUBLICZNYCH</t>
  </si>
  <si>
    <t>WYDATKI OGÓŁEM</t>
  </si>
  <si>
    <t>Powiat Lubaczowski</t>
  </si>
  <si>
    <t>EDUKACYJNA OPIEKA WYCHOWAWCZA</t>
  </si>
  <si>
    <t>Przeznaczenie</t>
  </si>
  <si>
    <t>Jednostka samorządu</t>
  </si>
  <si>
    <t xml:space="preserve">w tym wydatki:
</t>
  </si>
  <si>
    <t>Nazwa</t>
  </si>
  <si>
    <t>Realizacja  porozumienia dotyczącego dofinansowania zadań związanych z funkcjonowaniem Domu Polski Wschodniej w Brukseli</t>
  </si>
  <si>
    <t>Województwo Warmińsko-Mazurskie</t>
  </si>
  <si>
    <t xml:space="preserve">WYKAZ DOTACJI CELOWYCH NA ZADANIA POWIERZONE DO REALIZACJI 
INNYM JEDNOSTKOM SAMORZĄDU TERYTORIALNEGO </t>
  </si>
  <si>
    <t>.</t>
  </si>
  <si>
    <t>KULTURA I OCHRONA 
DZIEDZICTWA NARODOWEGO</t>
  </si>
  <si>
    <t>pozostałe 
wydatki bieżące</t>
  </si>
  <si>
    <t>wynagrodzenia 
i składki od nich naliczane</t>
  </si>
  <si>
    <t>Wydatki 
majątkowe</t>
  </si>
  <si>
    <t>Wydatki 
bieżące</t>
  </si>
  <si>
    <t>Wydatki 
OGÓŁEM</t>
  </si>
  <si>
    <t xml:space="preserve">WYDATKI  NA  ZADANIA  REALIZOWANE  NA  PODSTAWIE  POROZUMIEŃ  
Z  JEDNOSTKAMI  SAMORZĄDU  TERYTORIALNEGO  </t>
  </si>
  <si>
    <t>Kwota</t>
  </si>
  <si>
    <t xml:space="preserve">Rozdział </t>
  </si>
  <si>
    <t xml:space="preserve">DOCHODY Z TYTUŁU DOTACJI OTRZYMANYCH NA PODSTAWIE POROZUMIEŃ 
Z JEDNOSTKAMI SAMORZĄDU TERYTORIALNEGO  </t>
  </si>
  <si>
    <t xml:space="preserve">ZESTAWIENIE  DOCHODÓW  I  WYDATKÓW  ZWIĄZANYCH  
Z  REALIZACJĄ  ZADAŃ  WSPÓLNYCH  REALIZOWANYCH  NA  PODSTAWIE 
POROZUMIEŃ  MIĘDZY  JEDNOSTKAMI  SAMORZĄDU  TERYTORIALNEGO </t>
  </si>
  <si>
    <t xml:space="preserve">       OGÓŁEM </t>
  </si>
  <si>
    <t>Rozdział 85410</t>
  </si>
  <si>
    <t xml:space="preserve">Biblioteka  Pedagogiczna  w  Tarnobrzegu  </t>
  </si>
  <si>
    <t>Pedagogiczna  Biblioteka  Wojewódzka  w  Przemyślu</t>
  </si>
  <si>
    <t>Pedagogiczna  Biblioteka  Wojewódzka  w  Krośnie</t>
  </si>
  <si>
    <t>Pedagogiczna  Biblioteka  Wojewódzka  w Rzeszowie</t>
  </si>
  <si>
    <t>Rozdział 80147</t>
  </si>
  <si>
    <t>Podkarpacke Centrum Edukacji  Nauczycieli w Rzeszowie</t>
  </si>
  <si>
    <t>Rozdział 80146</t>
  </si>
  <si>
    <t>Nauczycielskie Kolegium Języków Obcych w Leżajsku</t>
  </si>
  <si>
    <t>Nauczycielskie Kolegium Języków Obcych w Rzeszowie</t>
  </si>
  <si>
    <t>Nauczycielskie Kolegium Języków Obcych w Ropczycach</t>
  </si>
  <si>
    <t xml:space="preserve">Nauczycielskie Kolegium Języków Obcych w Nisku </t>
  </si>
  <si>
    <t xml:space="preserve">Nauczycielskie Kolegium Języków Obcych w Dębicy </t>
  </si>
  <si>
    <t>Kolegium  Nauczycielskie  w  Przemyślu</t>
  </si>
  <si>
    <t>Rozdział 80141</t>
  </si>
  <si>
    <t>Rozdział 80130</t>
  </si>
  <si>
    <t>Zespół  Szkół  Specjalnych  w  Rymanowie  Zdroju</t>
  </si>
  <si>
    <t>Rozdział 80102</t>
  </si>
  <si>
    <t>Wydatki</t>
  </si>
  <si>
    <t>Dochody</t>
  </si>
  <si>
    <t>Nazwa  jednostki</t>
  </si>
  <si>
    <t xml:space="preserve">PLAN DOCHODÓW GROMADZONYCH NA WYODRĘBNIONYM RACHUNKU PRZEZ WOJEWÓDZKIE OŚWIATOWE JEDNOSTKI BUDŻETOWE, 
ORAZ WYDATKÓW NIMI FINANSOWANYCH </t>
  </si>
  <si>
    <t xml:space="preserve">Wojewódzki Podkarpacki Szpital Psychiatryczny im. prof. E. Brzezickiego w Żurawicy </t>
  </si>
  <si>
    <t>Zakład Aktywności Zawodowej w Starych Oleszycach</t>
  </si>
  <si>
    <t>Zakład Aktywności Zawodowej w Krośnie</t>
  </si>
  <si>
    <t>Wojewódzki Szpital Specjalistyczny im. Fryderyka Chopina w Rzeszowie</t>
  </si>
  <si>
    <t>Realizacja zadań inwestycyjnych pn.:
a) "Przebudowa Pionu Położniczo - Ginekologicznego wraz z traktem porodowym w celu utworzenia Ośrodka Perinatologii" - 1.696.745,-zł, 
b) "Utworzenie Oddziału Endokrynologii i Diabetologii Dziecięcej w Szpitalu Wojewódzkim Nr 2 im. Św. Jadwigi Królowej w Rzeszowie" - 2.471.500,-zł,
c) "Nadbudowa bloku dziecięcego H1 na potrzeby Oddziału Onkohematologii Dzieci" - 2.119.000,-zł.</t>
  </si>
  <si>
    <t>Realizacja zadań inwestycyjnych pn.:
a) "Dostosowanie istniejących obiektów WSS do wymagań bezpieczeństwa pożarowego" - 996.300,-zł,
b) "Uzupełnienie i modernizacja wyposażenia Podkarpackiego Centrum Onkologii" - 1.950.000,-zł.</t>
  </si>
  <si>
    <t>Realizacja zadań inwestycyjnych pn.:
a) "Wykonanie łazienek na Oddziale Pulmonologii Chemioterapii" - 237.700,-zł,
 b) "Poprawa standardów leczenia pooperacyjnego i skojarzonego raka płuca – doposażenie i modernizacja klinik i oddziałów torakochirurgii" - 97.800,-zł.</t>
  </si>
  <si>
    <t>Realizacja zadań inwestycyjnych pn.:
a)"Termomodernizacja Wojewódzkiego Szpitala im. Św. Ojca Pio w Przemyślu" - 2.000.000,-zł,
b) "Wymiana urządzeń dźwigowych bloku B,C,D,E" - 700.000,-zł,
c) "Modernizacja oddziałów szpitala" - 300.000,-zł.</t>
  </si>
  <si>
    <t>Realizacja zadania inwestycyjnego pn.: "Wymiana osobowych i towarowych dźwigów szpitalnych w łączniku E".</t>
  </si>
  <si>
    <t xml:space="preserve">Realizacja zadania inwestycyjnego pn.: "Modernizacja  systemu monitoringu przeciwpożarowego" </t>
  </si>
  <si>
    <t xml:space="preserve"> Specjalistyczny Psychiatryczny Zespół Opieki Zdrowotnej im. prof. A. Kępińskiego w Jarosławiu</t>
  </si>
  <si>
    <t>Realizacja wskazanych zadań i programów: Rzeszowskie Spotkania Teatralne Festiwal Nowego Teatru.</t>
  </si>
  <si>
    <t xml:space="preserve">Realizacja wskazanych zadań i programów, w tym na:
1) Muzyczny Festiwal w Łańcucie - 500.000,-zł
2) organizację cyklu koncertów na terenie Województwa Podkarpackiego pn. „Przestrzeń otwarta dla muzyki” – 200.000,- zł,
3) organizację cyklu koncertów pt. „Fil-kameralia” – 70.000,- zł.
</t>
  </si>
  <si>
    <t>Realizacja wskazanych zadań i programów: opracowanie redakcyjne i druk „Podkarpackiego Informatora Kulturalnego” oraz łamanie i druk „Kalendarza Imprez Kulturalnych”,</t>
  </si>
  <si>
    <t>Realizacja wskazanych zadań i programów, w tym na:
1) Międzynarodowy Festiwal Jazzowy "JAZZ BEZ…" – 40.000,- zł,
2) Biesiadę Teatralną – Konfrontacje Zespołów Teatralnych Małych Form w Horyńcu Zdroju – 40.000,- zł,
3) Ogólnopolski Festiwal Kapel Folkloru Miejskiego – 36.000,- zł.</t>
  </si>
  <si>
    <t>Realizacja wskazanych zadań i programów: Międzynarodowe Triennale Malarstwa Regionu Karpat „Srebrny Czworokąt" 2015.</t>
  </si>
  <si>
    <t>Realizacja wskazanych zadań i programów, w tym na:
1) Dyskusyjne Kluby Książki – 30.000 zł,
2) „Wykonywanie zadań powiatowej biblioteki publicznej dla Powiatu Rzeszowskiego” – 72.000 zł.</t>
  </si>
  <si>
    <t xml:space="preserve">Muzeum Okręgowe w Rzeszowie </t>
  </si>
  <si>
    <t>Realizacja zadania inwestycyjnego pn. "Przebudowa i zmiana sposobu użytkowania XVI w. dworu spichlerza w Zgłobniu na cele biurowe i magazynowe (Regionalna Składnica Zabytków Archeologicznych) Etap V".</t>
  </si>
  <si>
    <t>Realizacja wskazanych zadań i programów, w tym na:
1) Kompleksowy remont dachu i elewacji zabytkowego budynku Muzeum przy ul. Piłsudskiego 16 – 210.000,- zł. 
2) V Karpacki Festiwal Archeologiczny „Dwa Oblicza” – Trzcinica 2015 – 180.000,- zł.</t>
  </si>
  <si>
    <t>Realizacja wskazanych zadań i programów, w tym na:
1) Festiwal Żarnowiec 2015 – 50.000,- zł,
2) Międzynarodowy Konkurs Plastyczny dla młodzieży szkół podstawowych i gimnazjów pt. „Ilustracja do utworu Marii Konopnickiej” – 10.000,- zł,
3) Konkurs literacki im. Marii Konopnickiej na wiersz i prozę dla młodzieży szkół gimnazjalnych i ponadgimnazjalnych – 10.000,- zł.</t>
  </si>
  <si>
    <t>Medyczno-Społeczne Centrum Kształcenia Zawodowego 
i Ustawicznego w Rzeszowie</t>
  </si>
  <si>
    <t>Medyczno-Społeczne Centrum Kształcenia Zawodowego 
i Ustawicznego w Stalowej  Woli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</si>
  <si>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</si>
  <si>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</si>
  <si>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</si>
  <si>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</si>
  <si>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</si>
  <si>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 xml:space="preserve">Zespół Szkół  przy  Szpitalu Wojewódzkim Nr 2 w  Rzeszowie                 </t>
  </si>
  <si>
    <t xml:space="preserve">Uniwersytet Rzeszowski w Rzeszowie </t>
  </si>
  <si>
    <t>Razem: Szkoły wyższe</t>
  </si>
  <si>
    <t xml:space="preserve">Dotacje celowe dla gmin z przeznaczeniem na modernizację dróg dojazdowych do gruntów rolnych. </t>
  </si>
  <si>
    <t>Dotacje celowe dla gmin z przeznaczeniem na budowę i modernizację dróg dojazdowych do gruntów rolnych.</t>
  </si>
  <si>
    <t>Realizacja zadania inwestyjnego pn. "Budowa platformy dźwigowej".</t>
  </si>
  <si>
    <t>Realizacja zadania inwestycyjnego pn. "Zachowanie dziedzictwa kulturowego i podniesienie atrakcyjności turystycznej regionu przez rozbudowę Parku Etnograficznego Muzeum Kultury Ludowej w Kolbuszowej – opracowanie pełnej dokumentacji projektowej i studium wykonalności".</t>
  </si>
  <si>
    <t>Realizację zadań inwestycyjnych pn:
1) "Opracowanie dokumentacji projektowych dla prac remontowo – konserwatorskich budynków: Oficyny, Oranżerii, Ujeżdżalnia, Stajni Cugowych i Powozowni" - § 6220 – 3.690.000,- zł, 
2) "Budowa Muzeum Polaków ratujących Żydów na Podkarpaciu im. Rodziny Ulmów w Markowej" - § 6220 – 1.840.000,- zł.</t>
  </si>
  <si>
    <t>Realizacja zadania inwestycyjnego pn.: "Modernizacja i rozbudowa budynku Oddziału Psychiatrycznego Ogólnego nr 1 (budynek nr 1)".</t>
  </si>
  <si>
    <t>Realizacja zadania inwestycyjnego pn.: "Modernizacja ogrodzenia".</t>
  </si>
  <si>
    <t>85206</t>
  </si>
  <si>
    <t>Realizacja zadania inwestycyjnego pn. "Opracowanie projektu dla zainstalowania windy w budynku WDK".</t>
  </si>
  <si>
    <t>Realizacja zadania inwestycyjnego pn. "Montaż systemu chłodzenia do wentylacji mechanicznej obsługującej salę widowiskową"</t>
  </si>
  <si>
    <t>Realizacja zadania inwestycyjnego: wkład do projektu pn."Rozwój e - usług medycznych i rozbudowa systemu informatycznego Wojewódzkiego Zespołu Specjalistycznego w Rzeszowie jako element Podkarpackiego Systemu Informacji Medycznej (PSIM)".</t>
  </si>
  <si>
    <t>Realizacja wskazanych zadań i programów, w tym na:
1) realizację zadania pn. "Ochrona i udostępnianie dziedzictwa kulturowego Ordynacji Łańcuckiej poprzez prace remontowo-konserwatorskie i cyfryzację zasobów Muzeum – Zamku w Łańcucie (OR-KA II)" – 2.253.491,- zł.
2) Jubileusz Jana Potockiego 2015 – 100.000,- zł.</t>
  </si>
  <si>
    <t xml:space="preserve">Realizacja wskazanych zadań i programów: VI edycja Festiwalu „Zaklęte w Drewnie”. </t>
  </si>
  <si>
    <t>Plan wydatków na 2015 r. według działów, rozdziałów, paragrafów klasyfikacji budżetowej</t>
  </si>
  <si>
    <t>Wyszczególnienie</t>
  </si>
  <si>
    <t>Plan na 2015 r.</t>
  </si>
  <si>
    <t>1.</t>
  </si>
  <si>
    <t>2.</t>
  </si>
  <si>
    <t>3.</t>
  </si>
  <si>
    <t>4.</t>
  </si>
  <si>
    <t>5.</t>
  </si>
  <si>
    <t>Rolnictwo i łowiectwo</t>
  </si>
  <si>
    <t>01004</t>
  </si>
  <si>
    <t>Biura geodezji i terenów rolnych</t>
  </si>
  <si>
    <t>wydatki bieżące:</t>
  </si>
  <si>
    <t>wydatki jednostek budżetowych w tym na:</t>
  </si>
  <si>
    <t xml:space="preserve"> - wynagrodzenia i składki od nich naliczane</t>
  </si>
  <si>
    <t>4010</t>
  </si>
  <si>
    <t>Wynagrodzenia osobowe pracowników</t>
  </si>
  <si>
    <t>4040</t>
  </si>
  <si>
    <t>Dodatkowe wynagrodzenie roczne</t>
  </si>
  <si>
    <t>4110</t>
  </si>
  <si>
    <t>Składki na ubezpieczenia społeczne</t>
  </si>
  <si>
    <t>4120</t>
  </si>
  <si>
    <t>Składki na Fundusz Pracy</t>
  </si>
  <si>
    <t>4170</t>
  </si>
  <si>
    <t>Wynagrodzenia bezosobowe</t>
  </si>
  <si>
    <t xml:space="preserve"> - wydatki związane z realizacją zadań statutowych jednostek budżetowych</t>
  </si>
  <si>
    <t>4140</t>
  </si>
  <si>
    <t>Wpłaty na Państwowy Fundusz Rehabilitacji Osób Niepełnosprawnych</t>
  </si>
  <si>
    <t>4210</t>
  </si>
  <si>
    <t>Zakup materiałów i wyposażenia</t>
  </si>
  <si>
    <t>4260</t>
  </si>
  <si>
    <t>Zakup energii</t>
  </si>
  <si>
    <t>4270</t>
  </si>
  <si>
    <t>Zakup usług remontowych</t>
  </si>
  <si>
    <t>4280</t>
  </si>
  <si>
    <t>Zakup usług zdrowotnych</t>
  </si>
  <si>
    <t>4300</t>
  </si>
  <si>
    <t>Zakup usług pozostałych</t>
  </si>
  <si>
    <t>4350</t>
  </si>
  <si>
    <t>Zakup usług dostępu do sieci Internet</t>
  </si>
  <si>
    <t>4360</t>
  </si>
  <si>
    <t>Opłaty z tytułu zakupu usług telekomunikacyjnych świadczonych w ruchomej publicznej sieci telefonicznej</t>
  </si>
  <si>
    <t>4370</t>
  </si>
  <si>
    <t>Opłata z tytułu zakupu usług telekomunikacyjnych świadczonych w stacjonarnej publicznej sieci telefonicznej.</t>
  </si>
  <si>
    <t>4390</t>
  </si>
  <si>
    <t>Zakup usług obejmujących wykonanie ekspertyz, analiz i opinii</t>
  </si>
  <si>
    <t>4400</t>
  </si>
  <si>
    <t>Opłaty za administrowanie i czynsze za budynki, lokale i pomieszczenia garażowe</t>
  </si>
  <si>
    <t>4410</t>
  </si>
  <si>
    <t>Podróże służbowe krajowe</t>
  </si>
  <si>
    <t>4430</t>
  </si>
  <si>
    <t>Różne opłaty i składki</t>
  </si>
  <si>
    <t>4440</t>
  </si>
  <si>
    <t>Odpisy na zakładowy fundusz świadczeń socjalnych</t>
  </si>
  <si>
    <t>4480</t>
  </si>
  <si>
    <t>Podatek od nieruchomości</t>
  </si>
  <si>
    <t>4510</t>
  </si>
  <si>
    <t>Opłaty na rzecz budżetu państwa</t>
  </si>
  <si>
    <t>4520</t>
  </si>
  <si>
    <t>Opłaty na rzecz budżetów jednostek samorządu terytorialnego</t>
  </si>
  <si>
    <t>4700</t>
  </si>
  <si>
    <t xml:space="preserve">Szkolenia pracowników niebędących członkami korpusu służby cywilnej </t>
  </si>
  <si>
    <t>świadczenia na rzecz osób fizycznych:</t>
  </si>
  <si>
    <t>3020</t>
  </si>
  <si>
    <t>Wydatki osobowe niezaliczone do wynagrodzeń</t>
  </si>
  <si>
    <t>wydatki majątkowe:</t>
  </si>
  <si>
    <t xml:space="preserve"> - inwestycyjne i zakupy inwestycyjne</t>
  </si>
  <si>
    <t>6050</t>
  </si>
  <si>
    <t>Wydatki inwestycyjne jednostek budżetowych</t>
  </si>
  <si>
    <t>6060</t>
  </si>
  <si>
    <t>Wydatki na zakupy inwestycyjne jednostek budżetowych</t>
  </si>
  <si>
    <t>01005</t>
  </si>
  <si>
    <t>Prace geodezyjno-urządzeniowe na potrzeby rolnictwa</t>
  </si>
  <si>
    <t>01006</t>
  </si>
  <si>
    <t>Zarządy melioracji i urządzeń wodnych</t>
  </si>
  <si>
    <t>Opłata z tytułu zakupu usług telekomunikacyjnych świadczonych w stacjonarnej publicznej sieci telefonicznej</t>
  </si>
  <si>
    <t>01008</t>
  </si>
  <si>
    <t>Melioracje wodne</t>
  </si>
  <si>
    <t>4500</t>
  </si>
  <si>
    <t>Pozostałe podatki na rzecz budżetów jednostek samorządu terytorialnego</t>
  </si>
  <si>
    <t>Wydatki majątkowe:</t>
  </si>
  <si>
    <t>6057</t>
  </si>
  <si>
    <t>6059</t>
  </si>
  <si>
    <t>- wydatki na programy finansowane z udziałem środków UE i źródeł zagranicznych</t>
  </si>
  <si>
    <t>Spółki wodne</t>
  </si>
  <si>
    <t>dotacje na zadania bieżące:</t>
  </si>
  <si>
    <t>2830</t>
  </si>
  <si>
    <t>Dotacja celowa z budżetu na finansowanie lub dofinansowanie zadań zleconych do realizacji pozostałym jednostkom nie zaliczanym do sektora finansów publicznych</t>
  </si>
  <si>
    <t>01041</t>
  </si>
  <si>
    <t xml:space="preserve">Program rozwoju Obszarów Wiejskich 2007-2013 </t>
  </si>
  <si>
    <t>4018</t>
  </si>
  <si>
    <t>4019</t>
  </si>
  <si>
    <t>4048</t>
  </si>
  <si>
    <t>4049</t>
  </si>
  <si>
    <t>4118</t>
  </si>
  <si>
    <t>4119</t>
  </si>
  <si>
    <t>4128</t>
  </si>
  <si>
    <t>4129</t>
  </si>
  <si>
    <t>4178</t>
  </si>
  <si>
    <t>4179</t>
  </si>
  <si>
    <t>4218</t>
  </si>
  <si>
    <t>4219</t>
  </si>
  <si>
    <t>4308</t>
  </si>
  <si>
    <t>4309</t>
  </si>
  <si>
    <t>4358</t>
  </si>
  <si>
    <t>4359</t>
  </si>
  <si>
    <t>4368</t>
  </si>
  <si>
    <t>4369</t>
  </si>
  <si>
    <t>4418</t>
  </si>
  <si>
    <t>4419</t>
  </si>
  <si>
    <t>4420</t>
  </si>
  <si>
    <t>Podróże służbowe zagraniczne</t>
  </si>
  <si>
    <t>4428</t>
  </si>
  <si>
    <t>4429</t>
  </si>
  <si>
    <t>4438</t>
  </si>
  <si>
    <t>4439</t>
  </si>
  <si>
    <t>4708</t>
  </si>
  <si>
    <t>4709</t>
  </si>
  <si>
    <t>6068</t>
  </si>
  <si>
    <t>6069</t>
  </si>
  <si>
    <t>Wyłączenie z produkcji gruntów rolnych</t>
  </si>
  <si>
    <t>2310</t>
  </si>
  <si>
    <t>Dotacje celowe przekazane gminie na zadania bieżące realizowane na podstawie porozumień (umów) między jednostkami samorządu terytorialnego</t>
  </si>
  <si>
    <t>2320</t>
  </si>
  <si>
    <t>Dotacje celowe przekazane dla powiatu na zadania bieżące realizowane na podstawie porozumień (umów) między jednostkami samorządu terytorialnego</t>
  </si>
  <si>
    <t>6610</t>
  </si>
  <si>
    <t>Dotacje celowe przekazane gminie na inwestycje i zakupy inwestycyjne realizowane na podstawie porozumień (umów) między jednostkami samorządu terytorialnego</t>
  </si>
  <si>
    <t>6620</t>
  </si>
  <si>
    <t>Dotacje celowe przekazane dla powiatu na inwestycje i zakupy inwestycyjne realizowane na podstawie porozumień (umów) między jednostkami samorządu terytorialnego</t>
  </si>
  <si>
    <t>01078</t>
  </si>
  <si>
    <t>Usuwanie skutków klęsk żywiołowych</t>
  </si>
  <si>
    <t>Pozostała działalność</t>
  </si>
  <si>
    <t>4590</t>
  </si>
  <si>
    <t>Kary i odszkodowania wypłacane na rzecz osób fizycznych</t>
  </si>
  <si>
    <t>4610</t>
  </si>
  <si>
    <t>Koszty postępowania sądowego i prokuratorskiego</t>
  </si>
  <si>
    <t>2360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</si>
  <si>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</si>
  <si>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050</t>
  </si>
  <si>
    <t>Rybołówstwo i rybactwo</t>
  </si>
  <si>
    <t>05011</t>
  </si>
  <si>
    <t>Program Operacyjny Zrównoważony rozwój sektora rybołówstwa i nadbrzeżnych obszarów rybackich 2007-2013</t>
  </si>
  <si>
    <t>wydatki na programy finansowane z udziałem środków UE i źródeł zagranicznych</t>
  </si>
  <si>
    <t>150</t>
  </si>
  <si>
    <t>Przetwórstwo przemysłowe</t>
  </si>
  <si>
    <t>15011</t>
  </si>
  <si>
    <t>Rozwój przedsiębiorczości</t>
  </si>
  <si>
    <t>2009</t>
  </si>
  <si>
    <t>Dotacje celowe w ramach programów finansowanych z udziałem środków europejskich oraz środków, o których mowa w art. 5 ust. 1 pkt. 3 oraz ust. 3 pkt. 5 i 6 ustawy, lub płatności w ramach budżetu środków europejskich</t>
  </si>
  <si>
    <t>6209</t>
  </si>
  <si>
    <t>15013</t>
  </si>
  <si>
    <t>Rozwój kadr nowoczesnej gospodarki i przedsiębiorczości</t>
  </si>
  <si>
    <t>400</t>
  </si>
  <si>
    <t>Wytwarzanie i zaopatrywanie w energię elektryczną, gaz i wodę</t>
  </si>
  <si>
    <t>40003</t>
  </si>
  <si>
    <t>Dostarczanie energii elektrycznej</t>
  </si>
  <si>
    <t>40095</t>
  </si>
  <si>
    <t>500</t>
  </si>
  <si>
    <t>Handel</t>
  </si>
  <si>
    <t>50005</t>
  </si>
  <si>
    <t>Promocja eksportu</t>
  </si>
  <si>
    <t>4017</t>
  </si>
  <si>
    <t>4117</t>
  </si>
  <si>
    <t>4127</t>
  </si>
  <si>
    <t>4217</t>
  </si>
  <si>
    <t>4307</t>
  </si>
  <si>
    <t>4397</t>
  </si>
  <si>
    <t>4399</t>
  </si>
  <si>
    <t>Transport i łączność</t>
  </si>
  <si>
    <t>Krajowe pasażerskie przewozy kolejowe</t>
  </si>
  <si>
    <t>Dotacja celowa z budżetu na finansowanie lub dofinansowanie zadań zleconych do realizacji pozostałym jednostkom niezaliczanym do sektora finansów publicznych</t>
  </si>
  <si>
    <t>6067</t>
  </si>
  <si>
    <t>Krajowe pasażerskie przewozy autobusowe</t>
  </si>
  <si>
    <t xml:space="preserve">Dotacja przedmiotowa z budżetu dla jednostek niezaliczanych do sektora finansów publicznych </t>
  </si>
  <si>
    <t>60004</t>
  </si>
  <si>
    <t>Lokalny transport zbiorowy</t>
  </si>
  <si>
    <t>60013</t>
  </si>
  <si>
    <t>Drogi publiczne wojewódzkie</t>
  </si>
  <si>
    <t>60014</t>
  </si>
  <si>
    <t>Drogi publiczne powiatowe</t>
  </si>
  <si>
    <t>6300</t>
  </si>
  <si>
    <t>Dotacja celowa na pomoc finansową  udzielaną między jednostkami samorządu terytorialnego na dofinansowanie własnych zadan inwestycyjnych i zakupów inwestycyjnych</t>
  </si>
  <si>
    <t>60015</t>
  </si>
  <si>
    <t>Drogi publiczne w miastach na prawach powiatu</t>
  </si>
  <si>
    <t>60078</t>
  </si>
  <si>
    <t>60095</t>
  </si>
  <si>
    <t>630</t>
  </si>
  <si>
    <t>Turystyka</t>
  </si>
  <si>
    <t>63003</t>
  </si>
  <si>
    <t>Zadania w zakresie upowszechniania turystyki</t>
  </si>
  <si>
    <t>63095</t>
  </si>
  <si>
    <t>4417</t>
  </si>
  <si>
    <t>4427</t>
  </si>
  <si>
    <t>6207</t>
  </si>
  <si>
    <t>700</t>
  </si>
  <si>
    <t>Gospodarka mieszkaniowa</t>
  </si>
  <si>
    <t>70005</t>
  </si>
  <si>
    <t>Gospodarka gruntami i nieruchomościami</t>
  </si>
  <si>
    <t>4600</t>
  </si>
  <si>
    <t>Kary i odszkodowania wypłacane na rzecz osób prawnych i innych jednostek organizacyjnych</t>
  </si>
  <si>
    <t>710</t>
  </si>
  <si>
    <t>Działalność usługowa</t>
  </si>
  <si>
    <t>71003</t>
  </si>
  <si>
    <t>Biura planowania przestrzennego</t>
  </si>
  <si>
    <t>4240</t>
  </si>
  <si>
    <t>Zakup pomocy naukowych, dydaktycznych i książek</t>
  </si>
  <si>
    <t>71005</t>
  </si>
  <si>
    <t>Prace geologiczne (nieinwestycyjne)</t>
  </si>
  <si>
    <t>71012</t>
  </si>
  <si>
    <t>Ośrodki dokumentacji geodezyjnej i kartograficznej</t>
  </si>
  <si>
    <t>4530</t>
  </si>
  <si>
    <t>Podatek od towarów i usług (VAT).</t>
  </si>
  <si>
    <t>71013</t>
  </si>
  <si>
    <t>Prace geodezyjne i kartograficzne (nieinwestycyjne)</t>
  </si>
  <si>
    <t>71095</t>
  </si>
  <si>
    <t>720</t>
  </si>
  <si>
    <t>Informatyka</t>
  </si>
  <si>
    <t>72095</t>
  </si>
  <si>
    <t>730</t>
  </si>
  <si>
    <t>Nauka</t>
  </si>
  <si>
    <t>73095</t>
  </si>
  <si>
    <t>2007</t>
  </si>
  <si>
    <t>4047</t>
  </si>
  <si>
    <t>4267</t>
  </si>
  <si>
    <t>4269</t>
  </si>
  <si>
    <t>4357</t>
  </si>
  <si>
    <t>4367</t>
  </si>
  <si>
    <t>4447</t>
  </si>
  <si>
    <t>4449</t>
  </si>
  <si>
    <t>4707</t>
  </si>
  <si>
    <t>Administracja publiczna</t>
  </si>
  <si>
    <t>75011</t>
  </si>
  <si>
    <t>Urzędy wojewódzkie</t>
  </si>
  <si>
    <t>75017</t>
  </si>
  <si>
    <t>Samorządowe sejmiki województw</t>
  </si>
  <si>
    <t>3030</t>
  </si>
  <si>
    <t xml:space="preserve">Różne wydatki na rzecz osób fizycznych </t>
  </si>
  <si>
    <t>75018</t>
  </si>
  <si>
    <t>Urzędy marszałkowskie</t>
  </si>
  <si>
    <t>wydatki bieżące</t>
  </si>
  <si>
    <t>4380</t>
  </si>
  <si>
    <t>Zakup usług obejmujących tłumaczenia</t>
  </si>
  <si>
    <t>3048</t>
  </si>
  <si>
    <t>Nagrody o charakterze szczególnym niezaliczone do wynagrodzeń</t>
  </si>
  <si>
    <t>4268</t>
  </si>
  <si>
    <t>4378</t>
  </si>
  <si>
    <t>4379</t>
  </si>
  <si>
    <t>4388</t>
  </si>
  <si>
    <t>4389</t>
  </si>
  <si>
    <t>4398</t>
  </si>
  <si>
    <t>4408</t>
  </si>
  <si>
    <t>4409</t>
  </si>
  <si>
    <t>4528</t>
  </si>
  <si>
    <t>4529</t>
  </si>
  <si>
    <t>4618</t>
  </si>
  <si>
    <t>75046</t>
  </si>
  <si>
    <t>Komisje egzaminacyjne</t>
  </si>
  <si>
    <t>75071</t>
  </si>
  <si>
    <t>Centrum Rozwoju Zasobów Ludzkich</t>
  </si>
  <si>
    <t>4177</t>
  </si>
  <si>
    <t>4377</t>
  </si>
  <si>
    <t>4407</t>
  </si>
  <si>
    <t>Dotacje celowe przekazane do samorządu województwa na zadania bieżące realizowane na podstawie porozumień (umów) między jednostkami samorządu terytorialnego</t>
  </si>
  <si>
    <t>75079</t>
  </si>
  <si>
    <t>Pomoc zagraniczna</t>
  </si>
  <si>
    <t>75095</t>
  </si>
  <si>
    <t>świadczenia na rzecz osób fizycznych</t>
  </si>
  <si>
    <t>Różne wydatki na rzecz osób fizycznych</t>
  </si>
  <si>
    <t>Szkolenia pracowników niebędących członkami korpusu służby cywilnej</t>
  </si>
  <si>
    <t>752</t>
  </si>
  <si>
    <t>Obrona narodowa</t>
  </si>
  <si>
    <t>75212</t>
  </si>
  <si>
    <t>Pozostałe wydatki obronne</t>
  </si>
  <si>
    <t>Bezpieczeństwo publiczne i ochrona przeciwpożarowa</t>
  </si>
  <si>
    <t>Komendy wojewódzkie Policji</t>
  </si>
  <si>
    <t>3000</t>
  </si>
  <si>
    <t>Wpłaty jednostek na państwowy fundusz celowy</t>
  </si>
  <si>
    <t>6170</t>
  </si>
  <si>
    <t>Wpłaty jednostek na państwowy fundusz celowy na finansowanie lub dofinansowanie zadań inwestycyjnych</t>
  </si>
  <si>
    <t>Straż Graniczna</t>
  </si>
  <si>
    <t>Komendy Wojewódzkie Państwowej Straży Pożarnej</t>
  </si>
  <si>
    <t>75415</t>
  </si>
  <si>
    <t>Zadania ratownictwa górskiego i wodnego</t>
  </si>
  <si>
    <t>757</t>
  </si>
  <si>
    <t>Obsługa długu publicznego</t>
  </si>
  <si>
    <t>75702</t>
  </si>
  <si>
    <t>Obsługa papierów wartościowych, kredytów i pożyczek jednostek samorządu terytorialnego</t>
  </si>
  <si>
    <t>obsługa długu JST</t>
  </si>
  <si>
    <t>8110</t>
  </si>
  <si>
    <t>Odsetki od samorządowych papierów wartościowych lub zaciągniętych przez jednostkę samorządu terytorialnego kredytów i pożyczek</t>
  </si>
  <si>
    <t>75704</t>
  </si>
  <si>
    <t>Rozliczenia z tytułu poręczeń i gwarancji udzielonych przez Skarb Państwa lub jednostkę samorządu terytorialnego</t>
  </si>
  <si>
    <t>wypłaty z tytułu poręczeń i gwarancji:</t>
  </si>
  <si>
    <t>8020</t>
  </si>
  <si>
    <t>Wypłaty z tytułu gwarancji i poręczeń</t>
  </si>
  <si>
    <t>758</t>
  </si>
  <si>
    <t>Różne rozliczenia</t>
  </si>
  <si>
    <t>75818</t>
  </si>
  <si>
    <t>Rezerwy ogólne i celowe</t>
  </si>
  <si>
    <t>4810</t>
  </si>
  <si>
    <t>Rezerwy</t>
  </si>
  <si>
    <t>6800</t>
  </si>
  <si>
    <t>Rezerwy na inwestycje i zakupy inwestycyjne</t>
  </si>
  <si>
    <t>801</t>
  </si>
  <si>
    <t>Oświata i wychowanie</t>
  </si>
  <si>
    <t>80101</t>
  </si>
  <si>
    <t>Szkoły podstawowe</t>
  </si>
  <si>
    <t>80102</t>
  </si>
  <si>
    <t>Szkoły podstawowe specjalne</t>
  </si>
  <si>
    <t>80111</t>
  </si>
  <si>
    <t>Gimnazja specjalne</t>
  </si>
  <si>
    <t>80121</t>
  </si>
  <si>
    <t>Licea ogólnokształcące specjalne</t>
  </si>
  <si>
    <t>80130</t>
  </si>
  <si>
    <t>Szkoły zawodowe</t>
  </si>
  <si>
    <t>4340</t>
  </si>
  <si>
    <t>Zakup usług remontowo-konserwatorskich dotyczących obiektów zabytkowych będących w użytkowaniu jednostek budżetowych</t>
  </si>
  <si>
    <t xml:space="preserve">Opłaty na rzecz budżetów jednostek budżetowych </t>
  </si>
  <si>
    <t>80141</t>
  </si>
  <si>
    <t>Zakłady kształcenia nauczycieli</t>
  </si>
  <si>
    <t>80146</t>
  </si>
  <si>
    <t>Dokształcanie i doskonalenie nauczycieli</t>
  </si>
  <si>
    <t>3027</t>
  </si>
  <si>
    <t>3029</t>
  </si>
  <si>
    <t>4227</t>
  </si>
  <si>
    <t>Zakup środków żywności</t>
  </si>
  <si>
    <t>4287</t>
  </si>
  <si>
    <t>4289</t>
  </si>
  <si>
    <t>80147</t>
  </si>
  <si>
    <t>Biblioteki pedagogiczne</t>
  </si>
  <si>
    <t>80195</t>
  </si>
  <si>
    <t>3040</t>
  </si>
  <si>
    <t>3240</t>
  </si>
  <si>
    <t>Stypendia dla uczniów</t>
  </si>
  <si>
    <t>4387</t>
  </si>
  <si>
    <t>4527</t>
  </si>
  <si>
    <t>803</t>
  </si>
  <si>
    <t>Szkolnictwo wyższe</t>
  </si>
  <si>
    <t>80306</t>
  </si>
  <si>
    <t>Działalność dydaktyczna</t>
  </si>
  <si>
    <t>80309</t>
  </si>
  <si>
    <t>Pomoc materialna dla studentów i doktorantów</t>
  </si>
  <si>
    <t>3250</t>
  </si>
  <si>
    <t>Stypendia różne</t>
  </si>
  <si>
    <t>80395</t>
  </si>
  <si>
    <t>2520</t>
  </si>
  <si>
    <t>Ochrona zdrowia</t>
  </si>
  <si>
    <t>85111</t>
  </si>
  <si>
    <t>Szpitale ogólne</t>
  </si>
  <si>
    <t>2560</t>
  </si>
  <si>
    <t>Dotacja podmiotowa z budżetu dla samodzielnego publicznego zakładu opieki zdrowotnej utworzonego przez jednostkę samorządu terytorialnego</t>
  </si>
  <si>
    <t>6220</t>
  </si>
  <si>
    <t>Dotacje celowe z budżetu na finansowanie lub dofinansowanie kosztów realizacji inwestycji i zakupów inwestycyjnych innych jednostek sektora finansów publicznych</t>
  </si>
  <si>
    <t>85119</t>
  </si>
  <si>
    <t>Leczenie sanatoryjno-klimatyczne</t>
  </si>
  <si>
    <t>zakup i objęcie akcji i udziałów</t>
  </si>
  <si>
    <t>6010</t>
  </si>
  <si>
    <t>Wydatki na zakup i objęcie akcji, wniesienie wkładów do spółek prawa handlowego oraz na uzupełnienie funduszy statutowych banków państwowych i innych instytucji finansowych</t>
  </si>
  <si>
    <t>85120</t>
  </si>
  <si>
    <t>Lecznictwo psychiatryczne</t>
  </si>
  <si>
    <t>85121</t>
  </si>
  <si>
    <t>Lecznictwo ambulatoryjne</t>
  </si>
  <si>
    <t>85141</t>
  </si>
  <si>
    <t>Ratownictwo medyczne</t>
  </si>
  <si>
    <t>85148</t>
  </si>
  <si>
    <t>Medycyna pracy</t>
  </si>
  <si>
    <t>85149</t>
  </si>
  <si>
    <t>Programy polityki zdrowotnej</t>
  </si>
  <si>
    <t>Zwalczanie narkomanii</t>
  </si>
  <si>
    <t>Przeciwdziałanie alkoholizmowi</t>
  </si>
  <si>
    <t>85156</t>
  </si>
  <si>
    <t>4130</t>
  </si>
  <si>
    <t>Składki na ubezpieczenie zdrowotne</t>
  </si>
  <si>
    <t>85195</t>
  </si>
  <si>
    <t>Pomoc społeczna</t>
  </si>
  <si>
    <t>Zadania w zakresie przeciwdziałania przemocy w rodzinie</t>
  </si>
  <si>
    <t>Dotacje celowe z budżetu jednostki samorządu terytorialnego, udzielone w trybie art.. 221 ustawy, na finansowanie lub dofinansowanie zadań zleconych do realizacji organizacjom prowadzącym działalność pożytku publicznego</t>
  </si>
  <si>
    <t>Wspieranie rodziny</t>
  </si>
  <si>
    <t>85212</t>
  </si>
  <si>
    <t>Świadczenia rodzinne, świadczenia z funduszu alimentacyjnego oraz składki na ubezpieczenia emerytalne i rentowe z ubezpieczenia społecznego</t>
  </si>
  <si>
    <t>2910</t>
  </si>
  <si>
    <t>Zwrot dotacji oraz płatności, w tym  wykorzystanych niezgodnie z przeznaczeniem lub wykorzystanych z naruszeniem procedur, o których mowa w art. 184 ustawy, pobranych nienależnie lub w nadmiernej wysokości</t>
  </si>
  <si>
    <t>Regionalne ośrodki polityki społecznej</t>
  </si>
  <si>
    <t>85218</t>
  </si>
  <si>
    <t>Powiatowe centra pomocy rodzinie</t>
  </si>
  <si>
    <t>85219</t>
  </si>
  <si>
    <t>Ośrodki pomocy społecznej</t>
  </si>
  <si>
    <t>85226</t>
  </si>
  <si>
    <t>85295</t>
  </si>
  <si>
    <t>4016</t>
  </si>
  <si>
    <t>4046</t>
  </si>
  <si>
    <t>4116</t>
  </si>
  <si>
    <t>4126</t>
  </si>
  <si>
    <t>4176</t>
  </si>
  <si>
    <t>4216</t>
  </si>
  <si>
    <t>4266</t>
  </si>
  <si>
    <t>4306</t>
  </si>
  <si>
    <t>4356</t>
  </si>
  <si>
    <t>4376</t>
  </si>
  <si>
    <t>4386</t>
  </si>
  <si>
    <t>4406</t>
  </si>
  <si>
    <t>4416</t>
  </si>
  <si>
    <t>4486</t>
  </si>
  <si>
    <t>4487</t>
  </si>
  <si>
    <t>4526</t>
  </si>
  <si>
    <t>Pozostałe zadania w zakresie polityki społecznej</t>
  </si>
  <si>
    <t>Rehabilitacja zawodowa i społeczna osób niepełnosprawnych</t>
  </si>
  <si>
    <t>2570</t>
  </si>
  <si>
    <t>Dotacja podmiotowa z budżetu dla pozostałych jednostek sektora finansów publicznych</t>
  </si>
  <si>
    <t>2580</t>
  </si>
  <si>
    <t>Dotacja podmiotowa z budżetu dla jednostek niezaliczanych do sektora finansów publicznych</t>
  </si>
  <si>
    <t>85332</t>
  </si>
  <si>
    <t>Wojewódzkie urzędy pracy</t>
  </si>
  <si>
    <t>2008</t>
  </si>
  <si>
    <t>4278</t>
  </si>
  <si>
    <t>4279</t>
  </si>
  <si>
    <t>6058</t>
  </si>
  <si>
    <t>85395</t>
  </si>
  <si>
    <t>4277</t>
  </si>
  <si>
    <t>4437</t>
  </si>
  <si>
    <t>Edukacyjna opieka wychowawcza</t>
  </si>
  <si>
    <t>85410</t>
  </si>
  <si>
    <t>Internaty i bursy szkolne</t>
  </si>
  <si>
    <t>Opłaty na rzecz budżetów jednostek budżetowych</t>
  </si>
  <si>
    <t>85415</t>
  </si>
  <si>
    <t>Pomoc materialna dla uczniów</t>
  </si>
  <si>
    <t>3247</t>
  </si>
  <si>
    <t>3249</t>
  </si>
  <si>
    <t>2710</t>
  </si>
  <si>
    <t>Dotacja celowa na pomoc finansową udzielaną między jednostkami samorządu terytorialnego na dofinansowanie własnych zadań bieżących</t>
  </si>
  <si>
    <t>85495</t>
  </si>
  <si>
    <t>900</t>
  </si>
  <si>
    <t>Gospodarka komunalna i ochrona środowiska</t>
  </si>
  <si>
    <t>90005</t>
  </si>
  <si>
    <t>Ochrona powietrza atmosferycznego i klimatu</t>
  </si>
  <si>
    <t>90019</t>
  </si>
  <si>
    <t>Wpływy i wydatki związane z gromadzeniem środków z opłat i kar za korzystanie ze środowiska</t>
  </si>
  <si>
    <t>90020</t>
  </si>
  <si>
    <t>Wpływy i wydatki związane z gromadzeniem środków z opłat produktowych</t>
  </si>
  <si>
    <t>90024</t>
  </si>
  <si>
    <t>Wpływy i wydatki związane z wprowadzeniem do obrotu baterii i akumulatorów</t>
  </si>
  <si>
    <t>90095</t>
  </si>
  <si>
    <t>Kultura i ochrona dziedzictwa narodowego</t>
  </si>
  <si>
    <t>Pozostałe zadania w zakresie kultury</t>
  </si>
  <si>
    <t>92106</t>
  </si>
  <si>
    <t xml:space="preserve">Teatry </t>
  </si>
  <si>
    <t>2480</t>
  </si>
  <si>
    <t>Dotacja podmiotowa z budżetu dla samorządowej instytucji kultury</t>
  </si>
  <si>
    <t>2800</t>
  </si>
  <si>
    <t>Dotacja celowa z budżetu dla pozostałych jednostek zaliczanych do sektora finansów publicznych</t>
  </si>
  <si>
    <t>92108</t>
  </si>
  <si>
    <t>Filharmonie, orkiestry, chóry i kapele</t>
  </si>
  <si>
    <t>92109</t>
  </si>
  <si>
    <t>Domy i ośrodki kultury, świetlice i kluby</t>
  </si>
  <si>
    <t>92110</t>
  </si>
  <si>
    <t>Galerie i biura wystaw artystycznych</t>
  </si>
  <si>
    <t>92114</t>
  </si>
  <si>
    <t>Pozostałe instytucje kultury</t>
  </si>
  <si>
    <t>92118</t>
  </si>
  <si>
    <t>Muzea</t>
  </si>
  <si>
    <t>Ochrona zabytków i opieka nad zabytkami</t>
  </si>
  <si>
    <t>2720</t>
  </si>
  <si>
    <t>Dotacje celowe z budżetu na finansowanie lub dofinansowanie prac remontowych i konserwatorskich obiektów zabytkowych przekazane jednostkom niezaliczanym do sektora finansów publicznych</t>
  </si>
  <si>
    <t>92195</t>
  </si>
  <si>
    <t>925</t>
  </si>
  <si>
    <t>Ogrody botaniczne i zoologiczne oraz naturalne obszary i obiekty chronionej przyrody</t>
  </si>
  <si>
    <t>92502</t>
  </si>
  <si>
    <t>Parki krajobrazowe</t>
  </si>
  <si>
    <t xml:space="preserve">Opłaty na rzecz budżetów jednostek samorządu terytorialnego </t>
  </si>
  <si>
    <t>Kultura fizyczna</t>
  </si>
  <si>
    <t>Zadania w zakresie kultury fizycznej</t>
  </si>
  <si>
    <t>dotacje  na zadania bieżące:</t>
  </si>
  <si>
    <t>2820</t>
  </si>
  <si>
    <t>Dotacja celowa z budżetu na finansowanie lub dofinansowanie zadań zleconych do realizacji stowarzyszeniom</t>
  </si>
  <si>
    <t>Razem:</t>
  </si>
  <si>
    <t>I. Wydatki bieżące, w tym:</t>
  </si>
  <si>
    <t>1. Wydatki jednostek budżetowych, z tego:</t>
  </si>
  <si>
    <t xml:space="preserve">    - wynagrodzenia i składki od nich naliczane</t>
  </si>
  <si>
    <t xml:space="preserve">    - wydatki związane z realizacją ich statutowych zadań</t>
  </si>
  <si>
    <t>2. Dotacje na zadania bieżące</t>
  </si>
  <si>
    <t>3. Świadczenia na rzecz osób fizycznych</t>
  </si>
  <si>
    <t>4. Wydatki na programy finansowane z udziałem środków UE i źródeł zagranicznych</t>
  </si>
  <si>
    <t>5. Wypłaty z tytułu poręczeń i gwarancji</t>
  </si>
  <si>
    <t>6. Obsługa długu JST</t>
  </si>
  <si>
    <t>II. Wydatki majątkowe, w tym:</t>
  </si>
  <si>
    <t>1. Inwestycje i zakupy inwestycyjne, z tego:</t>
  </si>
  <si>
    <t xml:space="preserve">   - na programy finansowane z udziałem środków UE i źródeł zagranicznych</t>
  </si>
  <si>
    <t>2. Zakup i objęcie akcji i udziałów</t>
  </si>
  <si>
    <t>3. Wniesienie wkładów do spółek prawa handlowego</t>
  </si>
  <si>
    <t>Plan dochodów na 2015 r. według działów, rozdziałów, paragrafów 
klasyfikacji budżetowej oraz źródeł dochodów</t>
  </si>
  <si>
    <t>Rozdz.</t>
  </si>
  <si>
    <t>Źródło pochodzenia</t>
  </si>
  <si>
    <t>Plan na
 2015 r.</t>
  </si>
  <si>
    <t>6.</t>
  </si>
  <si>
    <t>ROLNICTWO I ŁOWIECTWO</t>
  </si>
  <si>
    <t xml:space="preserve">Biura geodezji i terenów rolnych </t>
  </si>
  <si>
    <t>a) dochody bieżące, w tym:</t>
  </si>
  <si>
    <t>Dochody realizowane przez Podkarpackie Biuro Geodezji i Terenów Rolnych w Rzeszowie z tytułu scaleń gruntów w ramach PROW (na lata 2007-2013 i 2014 - 2020) oraz okołoautostradowych, robót geodezyjnych - klasyfikacje, podziały</t>
  </si>
  <si>
    <t>0830</t>
  </si>
  <si>
    <t>b) dochody majątkowe</t>
  </si>
  <si>
    <t xml:space="preserve">Dotacje celowe otrzymane z budżetu państwa na zadania bieżące z zakresu administracji rządowej oraz inne zadania zlecone ustawami realizowane przez samorząd województwa </t>
  </si>
  <si>
    <t>Zarządy Melioracji i Urządzeń Wodnych</t>
  </si>
  <si>
    <t>Dochody realizowane przez Podkarpacki Zarząd Melioracji i Urządzeń Wodnych w Rzeszowie z tytułu wynajmu wolnych pomieszczeń biurowych i garażowych, partycypacji w kosztach utrzymania czystości klatki schodowej, zwrotu opłat za media, prowizji dla płatników za rozliczenie i terminowe wpłaty podatku dochodowego od osób fizycznych oraz rozliczeń z ZUS</t>
  </si>
  <si>
    <t>0750</t>
  </si>
  <si>
    <t>0970</t>
  </si>
  <si>
    <t>5% dochodów uzyskiwanych na rzecz budżetu państwa w związku z realizacją zadań z zakresu administracji rządowej oraz innych zadań zleconych ustawami</t>
  </si>
  <si>
    <t>b) dochody majątkowe, w tym:</t>
  </si>
  <si>
    <t xml:space="preserve">Dotacje celowe otrzymane z budżetu państwa na inwestycje i zakupy inwestycyjne z zakresu administracji rządowej oraz inne zadania zlecone ustawami realizowane przez samorząd województwa </t>
  </si>
  <si>
    <t>Dotacje celowe otrzymane z budżetu państwa na inwestycje i zakupy inwestycyjne z zakresu administracji rządowej oraz inne zadania zlecone ustawami realizowane przez samorząd województwa - wydatki niekwalifikowalne na realizację inwestycji melioracyjnych w ramach Regionalnego Programu Operacyjnego Województwa Podkarpackiego na lata 2007-2013</t>
  </si>
  <si>
    <t xml:space="preserve">Dotacje celowe otrzymane z budżetu państwa na inwestycje i zakupy inwestycyjne z zakresu administracji rządowej oraz inne zadania zlecone ustawami realizowane przez samorząd województwa - wydatki niekwalifikowalne na realizację inwestycji melioracyjnych w ramach Programu Rozwoju Obszarów Wiejskich na lata 2007-2013 </t>
  </si>
  <si>
    <t>Środki pochodzące z budżetu Unii Europejskiej na realizację inwestycji melioracyjnych w ramach Programu Rozwoju Obszarów Wiejskich na lata 2007-2013</t>
  </si>
  <si>
    <t xml:space="preserve">Dotacja celowa z budżetu państwa na realizację inwestycji melioracyjnych w ramach Programu Rozwoju Obszarów Wiejskich na lata 2007-2013 </t>
  </si>
  <si>
    <t>Program Rozwoju Obszarów Wiejskich 2007 - 2013</t>
  </si>
  <si>
    <t xml:space="preserve">Dotacje celowe otrzymane z budżetu państwa na zadania bieżące z zakresu administracji rządowej oraz inne zadania zlecone ustawami realizowane przez samorząd województwa -  Program Rozwoju Obszarów Wiejskich na lata 2007-2013 </t>
  </si>
  <si>
    <t xml:space="preserve">Dotacje celowe otrzymane z budżetu państwa na zadania bieżące z zakresu administracji rządowej oraz inne zadania zlecone ustawami realizowane przez samorząd województwa -  Program Rozwoju Obszarów Wiejskich na lata 2014-2020 </t>
  </si>
  <si>
    <t xml:space="preserve">Dotacje celowe otrzymane z budżetu państwa na inwestycje i zakupy inwestycyjne z zakresu administracji rządowej oraz inne zadania zlecone ustawami realizowane przez samorząd województwa - Program Rozwoju Obszarów Wiejskich na lata 2007-2013 </t>
  </si>
  <si>
    <t>Wpływy z tytułu wyłączenia gruntów z produkcji rolnej</t>
  </si>
  <si>
    <t>0690</t>
  </si>
  <si>
    <t xml:space="preserve">Usuwanie skutków klęsk żywiołowych </t>
  </si>
  <si>
    <t>a) dochody bieżące</t>
  </si>
  <si>
    <t>Dotacje celowe otrzymane z budżetu państwa na inwestycje i zakupy inwestycyjne z zakresu administracji rządowej oraz inne zadania zlecone ustawami realizowane przez samorząd województwa</t>
  </si>
  <si>
    <t xml:space="preserve">RYBOŁÓWSTWO I RYBACTWO </t>
  </si>
  <si>
    <t xml:space="preserve">Program Operacyjny Zrównoważony rozwój sektora rybołówstwa i nadbrzeżnych obszarów rybackich 2007 - 2013 </t>
  </si>
  <si>
    <t>Dotacja celowa z budżetu państwa na finansowanie wydatków objętych Pomocą Techniczną  Programu Operacyjnego Zrównoważony rozwój sektora rybołówstwa i nadbrzeżnych obszarów rybackich 2007 - 2013</t>
  </si>
  <si>
    <t>Dotacja celowa z budżetu państwa na współfinansowanie wydatków objętych Pomocą Techniczną Programu Operacyjnego Zrównoważony rozwój sektora rybołówstwa i nadbrzeżnych obszarów rybackich 2007 - 2013</t>
  </si>
  <si>
    <t xml:space="preserve">b) dochody majątkowe </t>
  </si>
  <si>
    <t>100</t>
  </si>
  <si>
    <t>GÓRNICTWO I KOPALNICTWO</t>
  </si>
  <si>
    <t>10095</t>
  </si>
  <si>
    <t>HANDEL</t>
  </si>
  <si>
    <t xml:space="preserve">Środki pochodzące z budżetu Unii Europejskiej na realizację projektu pn. "Centrum Obsługi Inwestorów i Eksporterów (COIE)" w ramach Programu Operacyjnego Innowacyjna Gospodarka </t>
  </si>
  <si>
    <t>Dotacja celowa z budżetu państwa na realizację projektu pn. "Centrum Obsługi Inwestorów i Eksporterów (COIE)" w ramach Programu Operacyjnego Innowacyjna Gospodarka</t>
  </si>
  <si>
    <t>TRANSPORT I ŁĄCZNOŚĆ</t>
  </si>
  <si>
    <t>Dzierżawa autobusów szynowych</t>
  </si>
  <si>
    <t>Zwrot od ubezpieczyciela kosztów naprawy autobusów szynowych</t>
  </si>
  <si>
    <t>Zwrot podatku VAT od planowanego do zakupu w 2015r. pojazdu szynowego w ramach Programu Operacyjnego Infrastruktura i Środowisko na lata 2007-2013</t>
  </si>
  <si>
    <t xml:space="preserve">Dotacje otrzymane z państwowych funduszy celowych na realizację zadań bieżących jednostek sektora finansów publicznych </t>
  </si>
  <si>
    <t>2440</t>
  </si>
  <si>
    <t>Środki pochodzące z budżetu Unii Europejskiej na realizację projektu pn. "Zakup taboru kolejowego do obsługi połączeń międzywojewódzkich realizowanych przez województwa: małopolskie, podkarpackie, śląskie, świętokrzyskie" w ramach Programu Operacyjnego Infrastruktura i Środowisko na lata 2007-2013</t>
  </si>
  <si>
    <t>Dotacje otrzymane z funduszy celowych na finansowanie lub dofinansowanie kosztów realizacji inwestycji i zakupów inwestycyjnych jednostek sektora finansów publicznych</t>
  </si>
  <si>
    <t>Dotacja z budżetu państwa na realizację inwestycji i zakupów inwestycyjnych własnych samorządu województwa</t>
  </si>
  <si>
    <t xml:space="preserve">Opłaty za wydawanie zezwoleń na regularny przewóz osób </t>
  </si>
  <si>
    <t>Dochody realizowane przez Podkarpacki Zarząd Dróg Wojewódzkich w Rzeszowie z tytułu wynagrodzenia płatnika za rozliczenie i terminowe wpłaty podatku dochodowego od osób fizycznych oraz wypłacanych świadczeń z ubezpieczenia chorobowego oraz wpływów za wydane decyzje za zajęcie pasa drogowego</t>
  </si>
  <si>
    <t xml:space="preserve">Dotacje celowe otrzymane z budżetu państwa na realizację bieżących zadań własnych samorządu województwa </t>
  </si>
  <si>
    <t>2230</t>
  </si>
  <si>
    <t>Środki pochodzące z budżetu Unii Europejskiej na realizację inwestycji drogowych w ramach Programu Operacyjnego Rozwój Polski Wschodniej na lata 2007-2013</t>
  </si>
  <si>
    <t>Środki pochodzące z budżetu Unii Europejskiej jako refundacja wydatków poniesionych ze środków własnych na realizację projektów w ramach Programu Operacyjnego Rozwój Polski Wschodniej na lata 2007-2013</t>
  </si>
  <si>
    <t>Dotacja celowa otrzymana z tytułu pomocy finansowej udzielanej między jednostkami samorządu terytorialnego na dofinansowanie własnych zadań inwestycyjnych i zakupów inwestycyjnych</t>
  </si>
  <si>
    <t>TURYSTYKA</t>
  </si>
  <si>
    <t>Środki pochodzące z budżetu Unii Europejskiej na realizację projektu pn. "Trasy rowerowe w Polsce Wschodniej - promocja" w ramach Programu Operacyjnego Rozwój Polski Wschodniej na lata 2007 - 2013</t>
  </si>
  <si>
    <t>Środki pochodzące z budżetu Unii Europejskiej jako refundacja wydatków poniesionych ze środków własnych na realizację projektu pn. "Trasy rowerowe w Polsce Wschodniej - promocja" w ramach Programu Operacyjnego Rozwój Polski Wschodniej na lata 2007 - 2013</t>
  </si>
  <si>
    <t>Dotacja celowa z budżetu państwa na realizację projektu pn. "Trasy rowerowe w Polsce Wschodniej - promocja" w ramach Programu Operacyjnego Rozwój Polski Wschodniej na lata 2007 - 2013</t>
  </si>
  <si>
    <t>Środki pochodzące z budżetu Unii Europejskiej na realizację projektu pn. "Trasy rowerowe w Polsce Wschodniej" w ramach Programu Operacyjnego Rozwój Polski Wschodniej  na lata 2007 - 2013</t>
  </si>
  <si>
    <t>Środki pochodzące z budżetu Unii Europejskiej na realizację projektu pn. "Trasy rowerowe w Polsce Wschodniej - promocja" w ramach Programu Operacyjnego Rozwój Polski Wschodniej  na lata 2007 - 2013</t>
  </si>
  <si>
    <t>Dotacja celowa z budżetu państwa na realizację projektu pn. "Trasy rowerowe w Polsce Wschodniej" w ramach Programu Operacyjnego Rozwój Polski Wschodniej  na lata 2007 - 2013</t>
  </si>
  <si>
    <t>Dotacja celowa z budżetu państwa na realizację projektu pn. "Trasy rowerowe w Polsce Wschodniej - promocja" w ramach Programu Operacyjnego Rozwój Polski Wschodniej  na lata 2007 - 2013</t>
  </si>
  <si>
    <t>GOSPODARKA MIESZKANIOWA</t>
  </si>
  <si>
    <t>Opłaty za zarząd i wieczyste użytkowanie</t>
  </si>
  <si>
    <t>0470</t>
  </si>
  <si>
    <t>Dochody ze sprzedaży mienia będącego w zasobie Województwa</t>
  </si>
  <si>
    <t>0770</t>
  </si>
  <si>
    <t>Wykaz nieruchomości do sprzedaży:
1) działka nr 1072/108 położona w Krośnie przy ul. Korczyńskiej w sąsiedztwie Wojewódzkiego Szpitala Podkarpackiego - wartość 200.000,-zł,
2) Przemyśl, ul. Monte Cassino (nieruchomości po byłej WKTS):
a) budynek administracyjny - wartość 400.000,-zł,
b) budynek warsztatowy - wartość 1.300.000,-zł,
3) Chrewt, Gmina Czarna (domki wypoczynkowe) - wartość 620.000,-zł,
4) działki okołolotniskowe - wartość 8.500.000,-zł,
5) Przemyśl ul. Łukasińskiego (obiekt Kolegium Nauczycielskiego im. A.Fredry w Przemyślu) - (wartość 3.500.000,-zł/rejestr zabytków - 50% bonifikaty) wartość 1.750.000,-zł.</t>
  </si>
  <si>
    <t>DZIAŁALNOŚĆ USŁUGOWA</t>
  </si>
  <si>
    <t>Dochody realizowane przez Podkarpackie Biuro Planowania Przestrzennego w Rzeszowie z tytułu najmu składników majątkowych i zwrotu opłat za media</t>
  </si>
  <si>
    <t>Dochody realizowane przez Wojewódzki Ośrodek Dokumentacji Geodezyjnej i Kartograficznej w Rzeszowie z tytułu udostępniania danych z zasobu geodezyjnego i kartograficznego, prowizji dla płatników za rozliczenie i terminowe wpłaty podatku dochodowego od osób fizycznych, zwrotu podatku VAT za 2014r.</t>
  </si>
  <si>
    <t>2210</t>
  </si>
  <si>
    <t>b) dochody majątkowe tym:</t>
  </si>
  <si>
    <t>INFORMATYKA</t>
  </si>
  <si>
    <t>Zwrot podatku VAT z tytułu realizacji projektu "Sieć Szerokopasmowa Polski Wschodniej - Województwo Podkarpackie" w ramach Programu Operacyjnego Rozwój Polski Wschodniej na lata 2007-2013</t>
  </si>
  <si>
    <t>Środki pochodzące z budżetu Unii Europejskiej na realizację projektu "Sieć Szerokopasmowa Polski Wschodniej - Województwo Podkarpackie" w ramach Programu Operacyjnego Rozwój Polski Wschodniej na lata 2007-2013</t>
  </si>
  <si>
    <t>Dotacja celowa z budżetu państwa na realizację projektu "Sieć Szerokopasmowa Polski Wschodniej - Województwo Podkarpackie" w ramach Programu Operacyjnego Rozwój Polski Wschodniej na lata 2007-2013</t>
  </si>
  <si>
    <t>Urzędy naczelnych i centralnych organów administracji rządowej</t>
  </si>
  <si>
    <t>Środki pochodzące z budżetu Unii Europejskiej na realizację projektu "Wzmocnienie w samorządzie województwa podkarpackiego monitorowania polityk publicznych i wymiany informacji w oparciu o Regionalne Obserwatorium Terytorialne" w ramach Programu Operacyjnego Kapitał Ludzki</t>
  </si>
  <si>
    <t>Środki pochodzące z budżetu Unii Europejskiej na realizację projektu pn."System Informacji o Funduszach Europejskich" w ramach Programu Operacyjnego Pomoc Techniczna na lata 2014 - 2020</t>
  </si>
  <si>
    <t>Dotacja celowa z budżetu państwa na realizację projektu pn."System Informacji o Funduszach Europejskich" w ramach Programu Operacyjnego Pomoc Techniczna na lata 2014 - 2020</t>
  </si>
  <si>
    <t xml:space="preserve">Dotacje celowe z budżetu państwa na zadania bieżące z zakresu administracji rządowej oraz inne zadania zlecone ustawami realizowane przez samorząd województwa </t>
  </si>
  <si>
    <t>Dochody realizowane przez Urząd Marszałkowski z tytułu najmu i dzierżawy pomieszczeń w budynku przy ul. Cieplińskiego 4, zwrotu opłat za media, refundacji wynagrodzeń i składek ZUS osób zatrudnionych w ramach prac interwencyjnych, kar umownych za nieterminowe dostawy, kosztów upomnień dotyczących opłaty melioracyjnej, udostępniania informacji o środowisku</t>
  </si>
  <si>
    <t xml:space="preserve">Centrum Rozwoju Zasobów Ludzkich </t>
  </si>
  <si>
    <t>Środki pochodzące z budżetu Unii Europejskiej na realizację projektu pn. "Wsparcie Regionalnych Ośrodków Polityki Społecznej w zakresie utworzenia Obserwatorium Integracji Społecznej" w ramach Programu Operacyjnego Kapitał Ludzki</t>
  </si>
  <si>
    <t>Dotacja celowa z budżetu państwa na  realizację projektu pn. "Wsparcie Regionalnych Ośrodków Polityki Społecznej w zakresie utworzenia Obserwatorium Integracji Społecznej"  w ramach Programu Operacyjnego Kapitał Ludzki</t>
  </si>
  <si>
    <t>Środki pochodzące z budżetu  Unii Europejskiej na realizację projektu pn. "Budowa Centrum Wystawienniczo Kongresowego Województwa Podkarpackiego" w ramach Programu Operacyjnego Rozwój Polski Wschodniej na lata 2007 - 2013</t>
  </si>
  <si>
    <t>Dotacja celowa pochodząca z budżetu  państwa na realizację projektu pn. "Budowa Centrum Wystawienniczo Kongresowego Województwa Podkarpackiego" w ramach Programu Operacyjnego Rozwój Polski Wschodniej na lata 2007 - 2013</t>
  </si>
  <si>
    <t>OBRONA NARODOWA</t>
  </si>
  <si>
    <t>DOCHODY OD OSÓB PRAWNYCH, OD OSÓB FIZYCZNYCH I OD INNYCH JEDNOSTEK NIE POSIADAJĄCYCH OSOBOWOŚCI PRAWNEJ ORAZ WYDATKI ZWIĄZANE Z ICH POBOREM</t>
  </si>
  <si>
    <t>Wpływy z innych opłat stanowiących dochody jednostek samorządu terytorialnego na podstawie ustaw</t>
  </si>
  <si>
    <t>Opłaty za zezwolenia na hurtową sprzedaż alkoholu</t>
  </si>
  <si>
    <t>0480</t>
  </si>
  <si>
    <t>Dochody realizowane przez Wojewódzki Urząd Pracy w Rzeszowie z tytułu wydawania zaświadczeń stwierdzających charakter, okres i rodzaj działalności wykonywanej w RP oraz certyfikatów potwierdzających wpis do rejestru agencji zatrudnienia</t>
  </si>
  <si>
    <t>Udziały województw w podatkach stanowiących dochód budżetu państwa</t>
  </si>
  <si>
    <t>Udział w podatku dochodowym od osób fizycznych</t>
  </si>
  <si>
    <t>0010</t>
  </si>
  <si>
    <t>Udział w podatku dochodowym od osób prawnych</t>
  </si>
  <si>
    <t>0020</t>
  </si>
  <si>
    <t>RÓŻNE ROZLICZENIA</t>
  </si>
  <si>
    <t>Część oświatowa subwencji ogólnej dla jednostek samorządu terytorialnego</t>
  </si>
  <si>
    <t>Subwencje ogólne z budżetu państwa</t>
  </si>
  <si>
    <t>Część wyrównawcza subwencji ogólnej dla województw</t>
  </si>
  <si>
    <t>Różne rozliczenia finansowe</t>
  </si>
  <si>
    <t>Odsetki od środków na rachunkach bankowych oraz lokat terminowych</t>
  </si>
  <si>
    <t>0920</t>
  </si>
  <si>
    <t>Część regionalna subwencji ogólnej dla województw</t>
  </si>
  <si>
    <t>2920</t>
  </si>
  <si>
    <t>Regionalne Programy Operacyjne 2007 - 2013</t>
  </si>
  <si>
    <t>Dotacja celowa z budżetu państwa na finansowanie wydatków objętych Pomocą Techniczną Regionalnego Programu Operacyjnego Województwa Podkarpackiego na lata 2007 - 2013</t>
  </si>
  <si>
    <t>Dotacja celowa z budżetu państwa na współfinansowanie projektów realizowanych w ramach Regionalnego Programu Operacyjnego Województwa Podkarpackiego na lata 2007 - 2013</t>
  </si>
  <si>
    <t>Środki pochodzące z budżetu Unii Europejskiej na realizację projektów własnych w ramach Regionalnego Programu Operacyjnego Województwa Podkarpackiego na lata 2007 - 2013</t>
  </si>
  <si>
    <t>Dotacja celowa z budżetu państwa na współfinansowanie projektów w ramach Regionalnego Programu Operacyjnego Województwa Podkarpackiego na lata 2007 - 2013</t>
  </si>
  <si>
    <t>Program Operacyjny Kapitał Ludzki</t>
  </si>
  <si>
    <t>Środki pochodzące z budżetu Unii Europejskiej na realizację projektów własnych w ramach Programu Operacyjnego Kapitał Ludzki</t>
  </si>
  <si>
    <t>Dotacja celowa z budżetu państwa na współfinansowanie projektów w ramach Programu Operacyjnego Kapitał Ludzki</t>
  </si>
  <si>
    <t>Regionalne Programy Operacyjne 2014 - 2020 finansowane 
z udziałem środków Europejskiego Funduszu Społecznego</t>
  </si>
  <si>
    <t>Dotacja celowa z budżetu państwa na finansowanie wydatków objętych Pomocą Techniczną Regionalnego Programu Operacyjnego Województwa Podkarpackiego na lata 2014 - 2020</t>
  </si>
  <si>
    <t>OŚWIATA I WYCHOWANIE</t>
  </si>
  <si>
    <t xml:space="preserve">Dokształcanie i doskonalenie nauczycieli </t>
  </si>
  <si>
    <t>Środki pochodzące z budżetu Unii Europejskiej na realizację przez Podkarpackie Centrum Edukacji Nauczycieli w Rzeszowie projektu pn. "Od przedszkola do dorosłości - kompetentne szkoły w Powiecie Jarosławskim" w ramach Programu Operacyjnego Kapitał Ludzki</t>
  </si>
  <si>
    <t>Środki pochodzące z budżetu Unii Europejskiej na realizację przez Podkarpackie Centrum Edukacji Nauczycieli w Rzeszowie projektu pn. "Powiatowe Centrum Rozwoju Edukacji - profesjonalny system doskonalenia nauczycieli w powiecie lubaczowskim" w ramach Programu Operacyjnego Kapitał Ludzki</t>
  </si>
  <si>
    <t>Dotacja celowa z budżetu państwa na realizację przez Podkarpackie Centrum Edukacji Nauczycieli w Rzeszowie projektu pn. "Od przedszkola do dorosłości - kompetentne szkoły w Powiecie Jarosławskim" w ramach Programu Operacyjnego Kapitał Ludzki</t>
  </si>
  <si>
    <t>Dotacja celowa z budżetu państwa na realizację przez Podkarpackie Centrum Edukacji Nauczycieli w Rzeszowie projektu pn. "Powiatowe Centrum Rozwoju Edukacji - profesjonalny system doskonalenia nauczycieli w powiecie lubaczowskim" w ramach Programu Operacyjnego Kapitał Ludzki</t>
  </si>
  <si>
    <t>OCHRONA ZDROWIA</t>
  </si>
  <si>
    <t>Składki na ubezpieczenie zdrowotne oraz świadczenia dla osób nieobjętych obowiązkiem ubezpieczenia zdrowotnego</t>
  </si>
  <si>
    <t>POMOC SPOŁECZNA</t>
  </si>
  <si>
    <t>Świadczenia rodzinne, świadczenie z funduszu alimentacyjnego oraz składki na ubezpieczenia emerytalne i rentowe z ubezpieczenia społecznego</t>
  </si>
  <si>
    <t>Dochody z tytułu zwrotu kosztów upomnienia dotyczącego nienależnie pobranych świadczeń rodzinnych</t>
  </si>
  <si>
    <t xml:space="preserve">Środki pochodzące z budżetu Unii Europejskiej na realizację projektu własnego Regionalnego Ośrodka Polityki Społecznej w Rzeszowie pn. "Poprawa infrastruktury domów pomocy społecznej i/lub placówek opiekuńczo-wychowawczych oraz podnoszenie kwalifikacji personelu w tym również pielęgniarek i pielęgniarzy ww. instytucji" w ramach Szwajcarsko - Polskiego Programu Współpracy </t>
  </si>
  <si>
    <t>Środki pochodzące z budżetu Unii Europejskiej na realizację projektu własnego Regionalnego Ośrodka Polityki Społecznej w Rzeszowie pn. "Poprawa infrastruktury domów pomocy społecznej i/lub placówek opiekuńczo-wychowawczych oraz podnoszenie kwalifikacji personelu w tym również pielęgniarek i pielęgniarzy ww. instytucji" w ramach Szwajcarsko - Polskiego Programu Współpracy</t>
  </si>
  <si>
    <t>POZOSTAŁE ZADANIA W ZAKRESIE POLITYKI SPOŁECZNEJ</t>
  </si>
  <si>
    <t>Państwowy Fundusz Rehabilitacji Osób Niepełnosprawnych</t>
  </si>
  <si>
    <t xml:space="preserve">Wpływ 2,5% odpisu ze środków Państwowego Funduszu Rehabilitacji Osób Niepełnosprawnych </t>
  </si>
  <si>
    <t>Wojewódzkie Urzędy Pracy</t>
  </si>
  <si>
    <t>Dochody realizowane przez Wojewódzki Urząd Pracy w Rzeszowie z tytułu zwrotu za media, wynagrodzenia portierów, wynagrodzenia płatnika i ZUS</t>
  </si>
  <si>
    <t>Dotacja celowa z budżetu państwa na finansowanie wydatków objętych Pomocą Techniczną Programu Operacyjnego Kapitał Ludzki</t>
  </si>
  <si>
    <t>Dotacja celowa z budżetu państwa na finansowanie wydatków objętych Pomocą Techniczną Programu Operacyjnego Wiedza, Edukacja, Rozwój 2014 - 2020</t>
  </si>
  <si>
    <t>Środki z Funduszu Gwarantowanych Świadczeń Pracowniczych</t>
  </si>
  <si>
    <t>6208</t>
  </si>
  <si>
    <t>GOSPODARKA KOMUNALNA I OCHRONA ŚRODOWISKA</t>
  </si>
  <si>
    <t>3% wpływów z opłat za korzystanie ze środowiska (przed przekazaniem na Narodowy i Wojewódzki Fundusz Ochrony Środowiska)</t>
  </si>
  <si>
    <t>Wpłata  odpisu 2% od wpływów z tytułu opłaty produktowej</t>
  </si>
  <si>
    <t>0400</t>
  </si>
  <si>
    <t xml:space="preserve">Wpływy i wydatki związane z wprowadzeniem do obrotu baterii i akumulatorów </t>
  </si>
  <si>
    <t xml:space="preserve">Biblioteki </t>
  </si>
  <si>
    <t xml:space="preserve">Dotacje celowe otrzymane z gminy na zadania bieżące realizowane na podstawie porozumień (umów) między jednostkami samorządu terytorialnego </t>
  </si>
  <si>
    <t>Dotacje celowe otrzymane z powiatu na zadania realizowane na podstawie porozumień (umów) między jednostkami samorządu terytorialnego</t>
  </si>
  <si>
    <t>OGRODY BOTANICZNE I ZOOLOGICZNE ORAZ NATURALNE OBSZARY I OBIEKTY CHRONIONEJ PRZYRODY</t>
  </si>
  <si>
    <t>Dotacje celowe otrzymane z budżetu państwa na realizację bieżących zadań własnych samorządu województwa</t>
  </si>
  <si>
    <t>dochody bieżące</t>
  </si>
  <si>
    <t>dochody majątkowe</t>
  </si>
  <si>
    <t>adm. Rządowa</t>
  </si>
  <si>
    <t>dotacje z funduszy celowych</t>
  </si>
  <si>
    <t>dotacje z b. państwa na zadania własne</t>
  </si>
  <si>
    <t>dotacje na podstawie porozumień</t>
  </si>
  <si>
    <t>dotacje z budżetu państwa na finansowanie lub współfinansowanie projektów</t>
  </si>
  <si>
    <t>środki z budżetu UE -refundacja ze środków własnych</t>
  </si>
  <si>
    <t>udziały w podatku dochodowym:</t>
  </si>
  <si>
    <t>PIT</t>
  </si>
  <si>
    <t>CIT</t>
  </si>
  <si>
    <t>subwencje</t>
  </si>
  <si>
    <t>oświatowa</t>
  </si>
  <si>
    <t>wyrównawcza</t>
  </si>
  <si>
    <t>pozostałe dochody własne</t>
  </si>
  <si>
    <t>adm. rządowa</t>
  </si>
  <si>
    <t>dotacja celowa z tytułu pomocy finansowej</t>
  </si>
  <si>
    <t>środki z budżetu UE -refundacja RPO ze środków własnych</t>
  </si>
  <si>
    <t>dotacja celowa z budżetu państwa - refundacja RPO</t>
  </si>
  <si>
    <t>dochody ze sprzedaży mienia</t>
  </si>
  <si>
    <t>RAZEM</t>
  </si>
  <si>
    <t>ZESTAWIENIE  DOCHODÓW  I  WYDATKÓW  ZWIĄZANYCH  
Z  REALIZACJĄ  ZADAŃ  Z  ZAKRESU  ADMINISTRACJI  RZĄDOWEJ  
ORAZ  INNYCH  ZADAŃ  ZLECONYCH  SAMORZĄDOWI 
WOJEWÓDZTWA  PODKARPACKIEGO USTAWAMI</t>
  </si>
  <si>
    <t>DOCHODY Z TYTUŁU PRZYZNANYCH Z BUDŻETU PAŃSTWA DOTACJI 
NA REALIZACJĘ ZADAŃ Z ZAKRESU ADMINISTRACJI RZĄDOWEJ</t>
  </si>
  <si>
    <t>Prace geodezyjno - urządzeniowe na potrzeby rolnictwa</t>
  </si>
  <si>
    <t>Program Rozwoju Obszarów Wiejskich 2007-2013</t>
  </si>
  <si>
    <t>OCHRONA  ZDROWIA</t>
  </si>
  <si>
    <t>Składki na ubezpieczenie zdrowotne oraz świadczenia 
dla osób nieobjętych obowiązkiem ubezpieczenia zdrowotnego</t>
  </si>
  <si>
    <t xml:space="preserve">WYDATKI  NA  ZADANIA  Z  ZAKRESU  ADMINISTRACJI  RZĄDOWEJ                                                                                                                                                                                         </t>
  </si>
  <si>
    <t xml:space="preserve">    w złotych</t>
  </si>
  <si>
    <t>z tego:</t>
  </si>
  <si>
    <t>Wydatki jednostek budżetowych</t>
  </si>
  <si>
    <t>Dotacje na zadania bieżące</t>
  </si>
  <si>
    <t>Świadczenia na rzecz osób fizycznych</t>
  </si>
  <si>
    <t>wynagro-
dzenia i 
składki od nich naliczane</t>
  </si>
  <si>
    <t>wydatki związane z realizacją ich statutowych zadań</t>
  </si>
  <si>
    <t>razem</t>
  </si>
  <si>
    <t>Program Rozwoju Obszarów Wiejskich 
2007-2013</t>
  </si>
  <si>
    <t>Ośrodki dokumentacji 
geodezyjnej i kartograficznej</t>
  </si>
  <si>
    <t>Wykaz zadań z zakresu administracji rządowej dofinansowanych 
ze środków własnych budżetu Województwa w 2015r.</t>
  </si>
  <si>
    <t xml:space="preserve">w złotych </t>
  </si>
  <si>
    <t>Kwota dofinansowania</t>
  </si>
  <si>
    <t>Nazwa zadania</t>
  </si>
  <si>
    <t>Utrzymanie urządzeń melioracji wodnych podstawowych - rzek Szuwarka-Gołębiówka i Świerkowiec- trwałość projektu (wydatki bieżące).</t>
  </si>
  <si>
    <t>Obsługa PROW. Ze środków budżetu Województwa zabezpieczono niekwalifikowalny podatek VAT, w tym:
1) obsługa PROW na lata 2007-2013 - 537.930,-zł, z tego:
    a) wydatki bieżące - 457.930,-zł,
    b) wydatki majątkowe - 80.000,-zł,
2) obsługa PROW na lata 2014-2020 - wydatki bieżące - 124.200,-zł.</t>
  </si>
  <si>
    <t>Koszty szacowania szkód łowieckich (wydatki bieżące).</t>
  </si>
  <si>
    <t>Zakup EWMAPY na potrzeby szacowania szkód łowieckich (wydatki majątkowe).</t>
  </si>
  <si>
    <t>Działalność Ośrodka Dokumentacji Geodezyjnej i Kartograficznej w Rzeszowie (wydatki bieżące).</t>
  </si>
  <si>
    <t>1) Tworzenie opracowań kartograficznych na podstawie bazy danych obiektów topograficznych 
     (BDOT10k) z terenu województwa podkarpackiego (wydatki bieżące),
2) Tworzenie map i baz danych tematycznych z terenu województwa (wydatki bieżące),
3) Dostosowanie istniejących baz danych do wymogów ustawy o infrastrukturze informacji 
     przestrzennej i ustawy prawo geodezyjne (wydatki bieżące).</t>
  </si>
  <si>
    <t>Zadania przejęte od administracji rządowej w związku ze zmianami w podziale zadań i kompetencji administracji terenowej (wydatki bieżące).</t>
  </si>
  <si>
    <t xml:space="preserve">Razem </t>
  </si>
  <si>
    <t>Dochody
OGÓŁEM</t>
  </si>
  <si>
    <t>w tym: podlegające przekazaniu</t>
  </si>
  <si>
    <t xml:space="preserve">do budżetu państwa </t>
  </si>
  <si>
    <t>do budżetu samorządu</t>
  </si>
  <si>
    <t>DZIAŁANOŚĆ USŁUGOWA</t>
  </si>
  <si>
    <t>Dotacje celowe dla powiatów z przeznaczeniem na zakup sprzętu pomiarowego i informatycznego oraz oprogramowania niezbędnego do prowadzenia spraw ochrony gruntów rolnych.</t>
  </si>
  <si>
    <t xml:space="preserve">Dotacje celowe dla powiatów z przeznaczeniem na zakup sprzętu pomiarowego i informatycznego oraz oprogramowania niezbędnego do prowadzenia spraw ochrony gruntów rolnych. </t>
  </si>
  <si>
    <t>na realizację Programu aktywizacji gospodarczo-turystycznej województwa podkarpackiego poprzez promocję cennych przyrodniczo i krajobrazowo wskazanych terenów łąkowo-pastwiskowych z zachowaniem bioróżnorodności w oparciu o naturalny wypas ("Podkarpacki Naturalny Wypas")</t>
  </si>
  <si>
    <t xml:space="preserve">na pokrycie kosztów utrzymania archiwum, w którym przechowywana jest dokumentacja związana z Działaniem 2.5 i 3.4 ZPORR 2004-2006, koszty pracowników technicznych zajmujących się prawidłowym zabezpieczeniem dokumentów oraz przygotowaniem części materiałów do likwidacji </t>
  </si>
  <si>
    <t>inwestycje i zakupy inwestycyjne</t>
  </si>
  <si>
    <t xml:space="preserve"> inwestycje i zakupy inwestycyjne</t>
  </si>
  <si>
    <t>Dotacja podmiotowa z budżetu dla uczelni publicznej na zadania, o których mowa w art. 94 ust. 1 pkt. 1 ustawy z dnia 27 lipca 2005 r. - Prawo o szkolnictwie wyższym</t>
  </si>
  <si>
    <t>wydatki na programy z udziałem środków UE i źródeł zagranicznych</t>
  </si>
  <si>
    <t>środki z budżetu UE</t>
  </si>
  <si>
    <t>regionalna</t>
  </si>
  <si>
    <t>Ośrodki adopcyjne</t>
  </si>
  <si>
    <t xml:space="preserve">Wojewódzki Szpital Specjalistyczny im. Fryderyka Chopina w Rzeszowie </t>
  </si>
  <si>
    <t xml:space="preserve">Wojewódzki Szpital im. Św. Ojca Pio w Przemyślu  </t>
  </si>
  <si>
    <t>Wojewódzki Szpital im. Jana Pawła II 
w Krośnie</t>
  </si>
  <si>
    <t xml:space="preserve">Wojewódzki Zespół Specjalistyczny 
w Rzeszowie </t>
  </si>
  <si>
    <t>Teatr im. W.Siemaszkowej 
w Rzeszowie</t>
  </si>
  <si>
    <t>Komenda Wojewódzka Policji 
w Rzeszowie</t>
  </si>
  <si>
    <t xml:space="preserve">Wojewódzki Szpital im. Św. Ojca Pio 
w Przemyślu  </t>
  </si>
  <si>
    <t xml:space="preserve">Podkarpackie Centrum Chorób Płuc 
w Rzeszowie </t>
  </si>
  <si>
    <t>Galeria Sztuki Współczesnej 
w Przemyślu</t>
  </si>
  <si>
    <t>Muzeum Budownictwa Ludowego 
w Sanoku</t>
  </si>
  <si>
    <t>na zadania i cele z zakresu przeciwdziałania przemocy w rodzinie w ramach "Wojewódzkiego Programu Przeciwdziałania Przemocy w Rodzinie"</t>
  </si>
  <si>
    <t xml:space="preserve"> Plan wydatków budżetu Województwa Podkarpackiego na 2015r. -  
na zadania realizowane w ramach programów finansowanych z udziałem środków, o których mowa w art. 5 ust. 1 pkt 2 i 3, 
ustawy o finansach publicznych z perspektywy finansowej 2007-2013
(wg działów, rozdziałów, paragrafów i rodzajów wydatków)</t>
  </si>
  <si>
    <t>Jednostka realizująca / Nazwa zadania / Program</t>
  </si>
  <si>
    <t>Kwota ogółem w 2015r.</t>
  </si>
  <si>
    <t>budżet województwa</t>
  </si>
  <si>
    <t>środki UE</t>
  </si>
  <si>
    <t>budżet państwa</t>
  </si>
  <si>
    <t>inne</t>
  </si>
  <si>
    <t>7.</t>
  </si>
  <si>
    <t>8.</t>
  </si>
  <si>
    <t>9.</t>
  </si>
  <si>
    <t>10.</t>
  </si>
  <si>
    <t>I</t>
  </si>
  <si>
    <t>URZĄD MARSZAŁKOWSKI WOJEWÓDZTWA PODKARPACKIEGO</t>
  </si>
  <si>
    <t>1</t>
  </si>
  <si>
    <r>
      <t xml:space="preserve">Dotacje dla beneficjentów realizujących projekty w ramach osi I-VII
</t>
    </r>
    <r>
      <rPr>
        <sz val="9"/>
        <rFont val="Arial"/>
        <family val="2"/>
        <charset val="238"/>
      </rPr>
      <t>Regionalny Program Operacyjny Województwa Podkarpackiego na lata 2007-2013
(Departament Rozwoju Regionalnego)</t>
    </r>
  </si>
  <si>
    <t>OGÓŁEM
z tego:</t>
  </si>
  <si>
    <t>92695</t>
  </si>
  <si>
    <t>wydatki majątkowe</t>
  </si>
  <si>
    <t>6669</t>
  </si>
  <si>
    <t>85115</t>
  </si>
  <si>
    <r>
      <t xml:space="preserve">Zakup pojazdów szynowych na potrzeby kolejowych przewozów osób w województwie podkarpackim
</t>
    </r>
    <r>
      <rPr>
        <sz val="9"/>
        <rFont val="Arial"/>
        <family val="2"/>
        <charset val="238"/>
      </rPr>
      <t>Regionalny Program Operacyjny Województwa Podkarpackiego
(Departament Dróg i Publicznego Transportu Zbiorowego)</t>
    </r>
  </si>
  <si>
    <t>wydatki bieżące,
w tym:</t>
  </si>
  <si>
    <t>wynagrodzenia wraz z pochodnymi</t>
  </si>
  <si>
    <t>pozostałe wydatki bieżące</t>
  </si>
  <si>
    <r>
      <t xml:space="preserve">PSeAP Podkarpacki System e-Administracji Publicznej
</t>
    </r>
    <r>
      <rPr>
        <sz val="9"/>
        <rFont val="Arial"/>
        <family val="2"/>
        <charset val="238"/>
      </rPr>
      <t>Regionalny Program Operacyjny Województwa Podkarpackiego
(Departament Społeczeństwa Informacyjnego)</t>
    </r>
  </si>
  <si>
    <r>
      <t xml:space="preserve">Podkarpacki System Informacji Medycznej PSIM
</t>
    </r>
    <r>
      <rPr>
        <sz val="9"/>
        <rFont val="Arial"/>
        <family val="2"/>
        <charset val="238"/>
      </rPr>
      <t>Regionalny Program Operacyjny Województwa Podkarpackiego
(Departament Społeczeństwa Informacyjnego)</t>
    </r>
  </si>
  <si>
    <t>2</t>
  </si>
  <si>
    <r>
      <t xml:space="preserve">Obsługa procesu oceny i wdrażania projektów w ramach osi priorytetowych II-VII Regionalnego Programu Operacyjnego Województwa Podkarpackiego na lata 2007-2013 w roku 2015
</t>
    </r>
    <r>
      <rPr>
        <sz val="9"/>
        <rFont val="Arial"/>
        <family val="2"/>
        <charset val="238"/>
      </rPr>
      <t>Pomoc Techniczna - Regionalny Program Operacyjny Województwa Podkarpackiego na lata 2007-2013
(Departament Wdrażania Projektów Infrastrukturalnych Regionalnego Programu Operacyjnego)</t>
    </r>
  </si>
  <si>
    <t>3</t>
  </si>
  <si>
    <r>
      <t xml:space="preserve">Obsługa procesu naboru, oceny i wdrażania projektów w ramach I osi priorytetowej Regionalnego Programu Operacyjnego Województwa Podkarpackiego na lata 2007-2013 w 2015 roku
</t>
    </r>
    <r>
      <rPr>
        <sz val="9"/>
        <rFont val="Arial"/>
        <family val="2"/>
        <charset val="238"/>
      </rPr>
      <t>Pomoc Techniczna - Regionalny Program Operacyjny Województwa Podkarpackiego na lata 2007-2013
(Departament Wspierania Przedsiębiorczości)</t>
    </r>
  </si>
  <si>
    <t>4</t>
  </si>
  <si>
    <r>
      <t xml:space="preserve">Wsparcie procesu wdrażania RPO WP poprzez działania o charakterze informacyjno-promocyjnym w 2015 roku
</t>
    </r>
    <r>
      <rPr>
        <sz val="9"/>
        <rFont val="Arial"/>
        <family val="2"/>
        <charset val="238"/>
      </rPr>
      <t>Pomoc Techniczna - Regionalny Program Operacyjny Województwa Podkarpackiego na lata 2007-2013
(Departament Rozwoju Regionalnego)</t>
    </r>
  </si>
  <si>
    <t>2918</t>
  </si>
  <si>
    <t>4569</t>
  </si>
  <si>
    <t>5</t>
  </si>
  <si>
    <r>
      <t xml:space="preserve">Obsługa procesu ponownej oceny oprotestowanych wniosków  w ramach RPO WP 2007-2013 w 2015 roku
</t>
    </r>
    <r>
      <rPr>
        <sz val="9"/>
        <rFont val="Arial"/>
        <family val="2"/>
        <charset val="238"/>
      </rPr>
      <t>Pomoc Techniczna - Regionalny Program Operacyjny Województwa Podkarpackiego na lata 2007-2013
(Departament Rozwoju Regionalnego)</t>
    </r>
  </si>
  <si>
    <t>6</t>
  </si>
  <si>
    <r>
      <t xml:space="preserve">Wsparcie procesu monitorowania, ewaluacji oraz systemu informowania o nieprawidłowościach RPO WP w roku 2015
</t>
    </r>
    <r>
      <rPr>
        <sz val="9"/>
        <rFont val="Arial"/>
        <family val="2"/>
        <charset val="238"/>
      </rPr>
      <t>Pomoc Techniczna - Regionalny Program Operacyjny Województwa Podkarpackiego na lata 2007-2013
(Departament Rozwoju Regionalnego)</t>
    </r>
  </si>
  <si>
    <t>7</t>
  </si>
  <si>
    <r>
      <t xml:space="preserve">Zatrudnienie pracowników Urzędu Marszałkowskiego Województwa Podkarpackiego w Rzeszowie zaangażowanych w zarządzanie i wdrażanie RPO WP w 2015 roku
</t>
    </r>
    <r>
      <rPr>
        <sz val="9"/>
        <rFont val="Arial"/>
        <family val="2"/>
        <charset val="238"/>
      </rPr>
      <t>Pomoc Techniczna - Regionalny Program Operacyjny Województwa Podkarpackiego na lata 2007-2013
(Departament Organizacyjno - Prawny)</t>
    </r>
  </si>
  <si>
    <t>8</t>
  </si>
  <si>
    <t>Wzmocnienie w samorządzie województwa podkarpackiego systemu monitorowania polityk publicznych i wymiany informacji w oparciu o Regionalne Obserwatorium Terytorialne
Program Operacyjny Kapitał Ludzki
(Departament Rozwoju Regionalnego)</t>
  </si>
  <si>
    <t>dotacje dla partnerów</t>
  </si>
  <si>
    <t>9</t>
  </si>
  <si>
    <r>
      <t xml:space="preserve">
Program stypendialny dla uczniów szczególnie uzdolnionych z terenu województwa podkarpackiego w roku szkolnym 2014/2015
</t>
    </r>
    <r>
      <rPr>
        <sz val="9"/>
        <rFont val="Arial"/>
        <family val="2"/>
        <charset val="238"/>
      </rPr>
      <t>Program Operacyjny Kapitał Ludzki
(Departament Edukacji i Nauki)</t>
    </r>
  </si>
  <si>
    <t>10</t>
  </si>
  <si>
    <t xml:space="preserve">
Trasy rowerowe w Polsce Wschodniej - promocja
Program Operacyjny Rozwój Polski Wschodniej na lata 2007-2013
(Departament Dróg i Publicznego Transportu Zbiorowego)</t>
  </si>
  <si>
    <t>11</t>
  </si>
  <si>
    <r>
      <t xml:space="preserve">Sieć Szerokopasmowa Polski Wschodniej - Województwo Podkarpackie
</t>
    </r>
    <r>
      <rPr>
        <sz val="9"/>
        <rFont val="Arial"/>
        <family val="2"/>
        <charset val="238"/>
      </rPr>
      <t>Program Operacyjny Rozwój Polski Wschodniej na lata 2007-2013
(Departament Społeczeństwa Informacyjnego)</t>
    </r>
  </si>
  <si>
    <t>12</t>
  </si>
  <si>
    <r>
      <t xml:space="preserve">Budowa Centrum Wystawienniczo - Kongresowego Województwa Podkarpackiego
</t>
    </r>
    <r>
      <rPr>
        <sz val="9"/>
        <rFont val="Arial"/>
        <family val="2"/>
        <charset val="238"/>
      </rPr>
      <t>Program Operacyjny Rozwój Polski Wschodniej na lata 2007-2013
(Departament Rozwoju Regionalnego)</t>
    </r>
  </si>
  <si>
    <t>13</t>
  </si>
  <si>
    <r>
      <t xml:space="preserve">Zakup taboru kolejowego do obsługi połączeń międzywojewódzkich realizowanych przez województwa: małopolskie, podkarpackie, śląskie, świętokrzyskie
</t>
    </r>
    <r>
      <rPr>
        <sz val="9"/>
        <rFont val="Arial"/>
        <family val="2"/>
        <charset val="238"/>
      </rPr>
      <t>Program Operacyjny Infrastruktura i Środowisko na lata 2007-2013
(Departament Dróg i Publicznego Transportu Zbiorowego)</t>
    </r>
  </si>
  <si>
    <t>14</t>
  </si>
  <si>
    <r>
      <t xml:space="preserve">Pomoc techniczna
</t>
    </r>
    <r>
      <rPr>
        <sz val="9"/>
        <rFont val="Arial"/>
        <family val="2"/>
        <charset val="238"/>
      </rPr>
      <t>Program Rozwoju Obszarów Wiejskich na lata 2007-2013
(Departament Programów Rozwoju Obszarów Wiejskich)</t>
    </r>
  </si>
  <si>
    <t>2919</t>
  </si>
  <si>
    <t>15</t>
  </si>
  <si>
    <r>
      <t xml:space="preserve">Pomoc techniczna
</t>
    </r>
    <r>
      <rPr>
        <sz val="9"/>
        <rFont val="Arial"/>
        <family val="2"/>
        <charset val="238"/>
      </rPr>
      <t>Program Operacyjny Zrównoważony Rozwój Sektora Rybołówstwa i Nadbrzeżnych Obszarów Rybackich
(Departament Programów Rozwoju Obszarów Wiejskich)</t>
    </r>
  </si>
  <si>
    <t>16</t>
  </si>
  <si>
    <r>
      <t xml:space="preserve">Centrum Obsługi Inwestorów i Eksporterów w województwie podkarpackim
</t>
    </r>
    <r>
      <rPr>
        <sz val="9"/>
        <rFont val="Arial"/>
        <family val="2"/>
        <charset val="238"/>
      </rPr>
      <t>Program Operacyjny Innowacyjna Gospodarka
(Departament Rozwoju Regionalnego)</t>
    </r>
  </si>
  <si>
    <t>II</t>
  </si>
  <si>
    <t>PODKARPACKI ZARZĄD DRÓG WOJEWÓDZKICH</t>
  </si>
  <si>
    <r>
      <t xml:space="preserve">Rozbudowa dr. wojewódzkiej Nr 892 Zagórz - Komańcza i drogi wojewódzkiej Nr 897 Tylawa - Komańcza - Radoszyce - Cisna - Ustrzyki Górne - Wołosate - Granica Państwa odcinek Komańcza - Radoszyce
</t>
    </r>
    <r>
      <rPr>
        <sz val="9"/>
        <rFont val="Arial"/>
        <family val="2"/>
        <charset val="238"/>
      </rPr>
      <t>Regionalny Program Operacyjny Województwa Podkarpackiego na lata 2007-2013</t>
    </r>
  </si>
  <si>
    <r>
      <t xml:space="preserve">Rozbudowa drogi wojewódzkiej Nr 869 łączącej węzeł A-4 Rzeszów Zachodni z węzłem S-19 Jasionka połączonej w sposób bezkolizyjny z istniejącymi drogami krajowymi Nr 9 Radom - Barwinek i Nr 19 Kuźnica - Rzeszów oraz linią kolejową L-71
</t>
    </r>
    <r>
      <rPr>
        <sz val="9"/>
        <rFont val="Arial"/>
        <family val="2"/>
        <charset val="238"/>
      </rPr>
      <t>Regionalny Program Operacyjny Województwa Podkarpackiego na lata 2007-2013</t>
    </r>
  </si>
  <si>
    <r>
      <t xml:space="preserve">Budowa drogi obwodowej Mielca w ciągu drogi wojewódzkiej Nr 985 Nagnajów - Dębica przebiegającej od miejscowości Tuszów Narodowy w km 20+636 do ulicy Dębickiej w km 38+522 wraz z niezbędną infrastrukturą techniczną, budowlami i urządzeniami budowlanymi 
</t>
    </r>
    <r>
      <rPr>
        <sz val="9"/>
        <rFont val="Arial"/>
        <family val="2"/>
        <charset val="238"/>
      </rPr>
      <t>Program Operacyjny Rozwój Polski Wschodniej na lata 2007-2013</t>
    </r>
  </si>
  <si>
    <r>
      <t xml:space="preserve">Trasy rowerowe w Polsce Wschodniej
</t>
    </r>
    <r>
      <rPr>
        <sz val="9"/>
        <rFont val="Arial"/>
        <family val="2"/>
        <charset val="238"/>
      </rPr>
      <t>Program Operacyjny Rozwój Polski Wschodniej na lata 2007-2013</t>
    </r>
  </si>
  <si>
    <t>III</t>
  </si>
  <si>
    <t>PODKARPACKI ZARZĄD MELIORACJI I URZĄDZEŃ WODNYCH</t>
  </si>
  <si>
    <r>
      <t xml:space="preserve">Zaprojektowanie i budowa suchego zbiornika przeciwpowodziowego (polderu przepływowego) pn. „Kańczuga” na rzece Mleczka Kańczudzka na terenie gminy Jawornik Polski oraz miasta i gminy Kańczuga
</t>
    </r>
    <r>
      <rPr>
        <sz val="9"/>
        <rFont val="Arial"/>
        <family val="2"/>
        <charset val="238"/>
      </rPr>
      <t>Regionalny Program Operacyjny Województwa Podkarpackiego na lata 2007-2013</t>
    </r>
  </si>
  <si>
    <r>
      <t xml:space="preserve">Nowy Breń II - rozbudowa i przeciwfiltracyjne zabezpieczenie prawego wału rzeki Nowy Breń w km 2+487-4+319, na długości 1,832 km w miejscowościach: Słupiec, Ziempniów i Otałęż, Część I: km 2+764-4+319 na długości 1,555 km, w miejscowości Ziempniów i Otałęż woj. podkarpackie
</t>
    </r>
    <r>
      <rPr>
        <sz val="9"/>
        <rFont val="Arial"/>
        <family val="2"/>
        <charset val="238"/>
      </rPr>
      <t>Program Rozwoju Obszarów Wiejskich na lata 2007-2013</t>
    </r>
  </si>
  <si>
    <r>
      <t xml:space="preserve">San I Etap I - rozbudowa i przeciwfiltracyjne zabezpieczenie prawego wału rzeki San w km 2+215 - 9+417, na długości 7,202 km, na terenie gminy Radomyśl nad Sanem, woj. podkarpackie
</t>
    </r>
    <r>
      <rPr>
        <sz val="9"/>
        <rFont val="Arial"/>
        <family val="2"/>
        <charset val="238"/>
      </rPr>
      <t>Program Rozwoju Obszarów Wiejskich na lata 2007-2013</t>
    </r>
  </si>
  <si>
    <r>
      <t xml:space="preserve">San II- rozbudowa i przeciwfiltracyjne zabezpieczenie lewego wału rzeki San w km 4+438 - 9+390, na długości 4,952 km, na terenie gminy Zaleszany
</t>
    </r>
    <r>
      <rPr>
        <sz val="9"/>
        <rFont val="Arial"/>
        <family val="2"/>
        <charset val="238"/>
      </rPr>
      <t>Program Rozwoju Obszarów Wiejskich na lata 2007-2013</t>
    </r>
  </si>
  <si>
    <r>
      <t xml:space="preserve">Wisłoka – Boża Wola – rozbudowa lewego wału Wisłoki w km 4+115 -6+737 oraz w km 0+000-0+230 wraz z budową obustronnych wałów cofkowych na potoku Kiełkowskim o długości 150m - ETAP I
</t>
    </r>
    <r>
      <rPr>
        <sz val="9"/>
        <rFont val="Arial"/>
        <family val="2"/>
        <charset val="238"/>
      </rPr>
      <t>Program Rozwoju Obszarów Wiejskich na lata 2007-2013</t>
    </r>
  </si>
  <si>
    <r>
      <t xml:space="preserve">Odbudowa potoku Lubcza w km 2+640-6+675 na długości 4,035 km oraz udrożnienie koryta potoku Lubcza w rejonie 4 stopni betonowych w km 0+400; 1+280; 7+050; 7+700 w mieście Rzeszów – Zwięczyca II, oraz w miejscowościach: Racławówka, Niechobrz, Boguchwała, gm. Boguchwała, woj. podkarpackie
</t>
    </r>
    <r>
      <rPr>
        <sz val="9"/>
        <rFont val="Arial"/>
        <family val="2"/>
        <charset val="238"/>
      </rPr>
      <t>Program Rozwoju Obszarów Wiejskich na lata 2007-2013</t>
    </r>
  </si>
  <si>
    <r>
      <t xml:space="preserve">Budowa zbiornika retencyjnego w miejscowości Rzeczyca Długa, gm. Radomyśl n/Sanem, woj. podkarpackie
</t>
    </r>
    <r>
      <rPr>
        <sz val="9"/>
        <rFont val="Arial"/>
        <family val="2"/>
        <charset val="238"/>
      </rPr>
      <t>Program Rozwoju Obszarów Wiejskich</t>
    </r>
  </si>
  <si>
    <t>IV</t>
  </si>
  <si>
    <t>WOJEWÓDZKI URZĄD PRACY</t>
  </si>
  <si>
    <r>
      <t xml:space="preserve">Dotacje dla beneficjentów realizujących projekty w ramach priorytetów VI-IX
</t>
    </r>
    <r>
      <rPr>
        <sz val="9"/>
        <rFont val="Arial"/>
        <family val="2"/>
        <charset val="238"/>
      </rPr>
      <t>Program Operacyjny Kapitał Ludzki</t>
    </r>
  </si>
  <si>
    <r>
      <t xml:space="preserve">Podkarpackie Obserwatorium Rynku Pracy
</t>
    </r>
    <r>
      <rPr>
        <sz val="9"/>
        <rFont val="Arial"/>
        <family val="2"/>
        <charset val="238"/>
      </rPr>
      <t>Program Operacyjny Kapitał Ludzki</t>
    </r>
  </si>
  <si>
    <t>15095</t>
  </si>
  <si>
    <r>
      <t xml:space="preserve">Podkarpacie stawia na zawodowców
</t>
    </r>
    <r>
      <rPr>
        <sz val="9"/>
        <rFont val="Arial"/>
        <family val="2"/>
        <charset val="238"/>
      </rPr>
      <t>Program Operacyjny Kapitał Ludzki</t>
    </r>
  </si>
  <si>
    <r>
      <t xml:space="preserve">Pomoc techniczna
</t>
    </r>
    <r>
      <rPr>
        <sz val="9"/>
        <rFont val="Arial"/>
        <family val="2"/>
        <charset val="238"/>
      </rPr>
      <t>Program Operacyjny Kapitał Ludzki</t>
    </r>
  </si>
  <si>
    <t>4989</t>
  </si>
  <si>
    <t>V</t>
  </si>
  <si>
    <t>REGIONALNY OŚRODEK POLITYKI SPOŁECZNEJ</t>
  </si>
  <si>
    <r>
      <t xml:space="preserve">Poprawa infrastruktury domów pomocy społecznej i/lub placówek opiekuńczo-wychowawczych oraz podnoszenie kwalifikacji personelu w tym również pielęgniarek i pielęgniarzy ww instytucji
</t>
    </r>
    <r>
      <rPr>
        <sz val="9"/>
        <rFont val="Arial"/>
        <family val="2"/>
        <charset val="238"/>
      </rPr>
      <t>Szwajcarsko - Polski Program Współpracy</t>
    </r>
  </si>
  <si>
    <r>
      <t xml:space="preserve">Szkolenia i specjalistyczne doradztwo dla kadr instytucji pomocy społecznej działających na terenie województwa podkarpackiego powiązane z potrzebami oraz ze specyfiką realizowanych zadań
</t>
    </r>
    <r>
      <rPr>
        <sz val="9"/>
        <rFont val="Arial"/>
        <family val="2"/>
        <charset val="238"/>
      </rPr>
      <t>Program Operacyjny Kapitał Ludzki</t>
    </r>
  </si>
  <si>
    <r>
      <t xml:space="preserve">Wsparcie Regionalnych Ośrodków Polityki Społecznej w zakresie utworzenia Obserwatorium Integracji Społecznej
</t>
    </r>
    <r>
      <rPr>
        <sz val="9"/>
        <rFont val="Arial"/>
        <family val="2"/>
        <charset val="238"/>
      </rPr>
      <t>Program Operacyjny Kapitał Ludzki</t>
    </r>
  </si>
  <si>
    <t>VI</t>
  </si>
  <si>
    <t>PODKARPACKIE CENTRUM EDUKACJI NAUCZYCIELI</t>
  </si>
  <si>
    <r>
      <t xml:space="preserve">Od przedszkola do dorosłości - kompetentne szkoły w powiecie Jarosławskim
</t>
    </r>
    <r>
      <rPr>
        <sz val="9"/>
        <rFont val="Arial"/>
        <family val="2"/>
        <charset val="238"/>
      </rPr>
      <t>Program Operacyjny Kapitał Ludzki</t>
    </r>
  </si>
  <si>
    <r>
      <t xml:space="preserve">Powiatowe Centrum Rozwoju Edukacji - profesjonalny system doskonalenia nauczycieli w powiecie lubaczowskim
</t>
    </r>
    <r>
      <rPr>
        <sz val="9"/>
        <rFont val="Arial"/>
        <family val="2"/>
        <charset val="238"/>
      </rPr>
      <t>Program Operacyjny Kapitał Ludzki</t>
    </r>
  </si>
  <si>
    <r>
      <t xml:space="preserve">
</t>
    </r>
    <r>
      <rPr>
        <sz val="9"/>
        <rFont val="Arial"/>
        <family val="2"/>
        <charset val="238"/>
      </rPr>
      <t>Program "Uczenie się przez całe życie" Comenius - Partnerskie Projekty Regio</t>
    </r>
  </si>
  <si>
    <r>
      <t xml:space="preserve">Technologie cyfrowe jako systemowe narzędzie wspomagające realizację programów rozwojowych oraz podnoszące jakość i atrakcyjność oferty edukacyjnej szkół Podkarpacia
</t>
    </r>
    <r>
      <rPr>
        <sz val="9"/>
        <rFont val="Arial"/>
        <family val="2"/>
        <charset val="238"/>
      </rPr>
      <t>Program Operacyjny Kapitał Ludzki</t>
    </r>
  </si>
  <si>
    <t xml:space="preserve"> Plan wydatków budżetu Województwa Podkarpackiego na 2015r. -  
na zadania realizowane w ramach programów finansowanych z udziałem środków, o których mowa w art. 5 ust. 1 pkt 2 i 3, 
ustawy o finansach publicznych z perspektywy finansowej 2014-2020
(wg działów, rozdziałów, paragrafów i rodzajów wydatków)</t>
  </si>
  <si>
    <r>
      <t xml:space="preserve">Dotacje dla beneficjentów realizujących projekty w ramach osi ...
</t>
    </r>
    <r>
      <rPr>
        <sz val="9"/>
        <rFont val="Arial"/>
        <family val="2"/>
        <charset val="238"/>
      </rPr>
      <t>Regionalny Program Operacyjny Województwa Podkarpackiego na lata 2014-2020
(Departament Zarządzania Regionalnym Programem Operacyjnym)</t>
    </r>
  </si>
  <si>
    <r>
      <t xml:space="preserve">Pomoc techniczna
</t>
    </r>
    <r>
      <rPr>
        <sz val="9"/>
        <rFont val="Arial"/>
        <family val="2"/>
        <charset val="238"/>
      </rPr>
      <t>Program Rozwoju Obszarów Wiejskich na lata 2014-2020
(Departament Programów Rozwoju Obszarów Wiejskich)</t>
    </r>
  </si>
  <si>
    <r>
      <t xml:space="preserve">System Informacji o Funduszach Europejskich
</t>
    </r>
    <r>
      <rPr>
        <sz val="9"/>
        <rFont val="Arial"/>
        <family val="2"/>
        <charset val="238"/>
      </rPr>
      <t>Program Operacyjny Pomoc Techniczna na lata 2014-2020
(Departament Rozwoju Regionalnego)</t>
    </r>
  </si>
  <si>
    <r>
      <t xml:space="preserve">Pomoc Techniczna 
</t>
    </r>
    <r>
      <rPr>
        <sz val="9"/>
        <rFont val="Arial"/>
        <family val="2"/>
        <charset val="238"/>
      </rPr>
      <t>Regionalny Program Operacyjny Województwa Podkarpackiego na lata 2014-2020
(Departament Zarządzania Regionalnym Programem Operacyjnym)</t>
    </r>
  </si>
  <si>
    <t>4589</t>
  </si>
  <si>
    <r>
      <t xml:space="preserve">Pomoc techniczna
</t>
    </r>
    <r>
      <rPr>
        <sz val="9"/>
        <rFont val="Arial"/>
        <family val="2"/>
        <charset val="238"/>
      </rPr>
      <t>Program Operacyjny Wiedza, Edukacja, Rozwój na lata 2014-2020</t>
    </r>
  </si>
  <si>
    <t>Pomoc techniczna
Regionalny Program Operacyjny Województwa Podkarpackiego na lata 2014-2020</t>
  </si>
  <si>
    <t>4489</t>
  </si>
  <si>
    <t>PODZIAŁ DOTACJI CELOWYCH NA REALIZACJĘ 
PROGRAMU OPERACYJNEGO KAPITAŁ LUDZKI</t>
  </si>
  <si>
    <t>Kwota ogółem</t>
  </si>
  <si>
    <t>dotacje dla beneficjentów realizujących projekty w ramach PO KL</t>
  </si>
  <si>
    <t>dotacje dla partnerów projektu własnego Podkarpackiego Centrum Edukacji Nauczycieli w Rzeszowie pn. "Technologie cyfrowe jako systemowe narzędzie wspomagające realizację programów rozwojowych oraz podnoszące jakość i atrakcyjność oferty edukacyjnej szkół Podkarpacia"</t>
  </si>
  <si>
    <t>dotacje dla partnerów projektu własnego Wojewódzkiego Urzędu Pracy w Rzeszowie pn. "Podkarpacie stawia na zawodowców"</t>
  </si>
  <si>
    <t>PODZIAŁ DOTACJI CELOWYCH NA REALIZACJĘ 
REGIONALNEGO PROGRAMU OPERACYJNEGO WOJEWÓDZTWA PODKARPACKIEGO NA LATA 2007-2013</t>
  </si>
  <si>
    <t>dotacje dla beneficjentów realizujących projekty w ramach RPO WP</t>
  </si>
  <si>
    <t>WYKAZ DOTACJI CELOWYCH NA REALIZACJĘ 
PROGRAMU OPERACYJNEGO ROZWÓJ POLSKI WSCHODNIEJ NA LATA 2007-2013</t>
  </si>
  <si>
    <t>dotacje dla partnerów projektu własnego Podkarpackiego Zarządu Dróg Wojewódzkich w Rzeszowie pn. "Trasy rowerowe w Polsce Wschodniej"</t>
  </si>
  <si>
    <t>dotacja dla partnera projektu własnego Urzędu Marszałkowskiego Województwa Podkarpackiego w Rzeszowie pn. "Budowa Centrum Wystawienniczo-Kongresowego Województwa Podkarpackiego"</t>
  </si>
  <si>
    <t>WYKAZ DOTACJI CELOWYCH NA REALIZACJĘ 
SZWAJCARSKO - POLSKIEGO PROGRAMU WSPÓŁPRACY</t>
  </si>
  <si>
    <t>dotacje dla partnerów projektu własnego Regionalnego Ośrodka Polityki Społecznej w Rzeszowie pn. "Poprawa infrastruktury domów pomocy społecznej i/lub placówek opiekuńczo-wychowawczych oraz podnoszenie kwalifikacji personelu w tym również pielęgniarek i pielęgniarzy ww instytucji"</t>
  </si>
  <si>
    <t xml:space="preserve">WYDATKI  NA  POMOC  FINANSOWĄ  UDZIELANĄ  INNYM  JEDNOSTKOM  SAMORZĄDU  TERYTORIALNEGO
NA  DOFINANSOWANIE  WŁASNYCH ZADAŃ BIEŻĄCYCH </t>
  </si>
  <si>
    <t>Wydatki związane z prowadzeniem przez Powiat Lubaczowski Młodzieżowego Ośrodka Wychowawczego wchodzącego w skład Zespołu Placówek im. Jana Pawła II 
w Lubaczowie</t>
  </si>
  <si>
    <t xml:space="preserve">PLAN  DOCHODÓW  PODLEGAJĄCYCH  PRZEKAZANIU  DO  BUDŻETU  PAŃSTWA ORAZ STANOWIĄCYCH DOCHÓD BUDŻETU WOJEWÓDZTWA ZWIĄZANYCH  Z  REALIZACJĄ  ZADAŃ  
Z  ZAKRESU  ADMINISTRACJI  RZĄDOWEJ </t>
  </si>
  <si>
    <t xml:space="preserve">Dochody realizowane przez jednostki oświatowe z tytułu prowizji dla płatników za rozliczenie i terminowe wpłaty podatku dochodowego od osób fizycznych </t>
  </si>
  <si>
    <t>Dochody realizowane przez jednostki oświatowe z tytułu zwrotu opłat za media, prowizji dla płatników za rozliczenie i terminowe wpłaty podatku dochodowego od osób fizycznych oraz rozliczeń z ZUS</t>
  </si>
  <si>
    <t>Dochody realizowane przez jednostki oświatowe z tytułu zwrotu opłat za media, prowizji dla płatników za rozliczenie i terminowe wpłaty podatku dochodowego od osób fizycznych</t>
  </si>
  <si>
    <t>Dochody realizowane przez jednostki oświatowe z tytułu najmu pomieszczeń biurowych, zwrotu opłat za media, prowizji dla płatników za rozliczenie i terminowe wpłaty podatku dochodowego od osób fizycznych</t>
  </si>
  <si>
    <t>Dochody z tytułu opłat za wpis do rejestru podmiotów prowadzących badania lekarskie oraz z zakresu psychologii transportu wynikające z ustawy o kierujących pojazdami</t>
  </si>
  <si>
    <t xml:space="preserve">Dotacja otrzymana z Narodowego Funduszu Ochrony Środowiska i Gospodarki Wodnej </t>
  </si>
  <si>
    <t xml:space="preserve">Dochody z najmu i dzierżawy składników majątkowych </t>
  </si>
  <si>
    <t>Środki pochodzące z budżetu Unii Europejskiej jako refundacja wydatków poniesionych ze środków własnych na realizację projektu "Move On Green" w ramach INTERREG IVC</t>
  </si>
  <si>
    <t>Środki pochodzące z budżetu Unii Europejskiej jako refundacja wydatków poniesionych ze środków własnych na realizację projektu  "TOURAGE" w ramach INTERREG IVC</t>
  </si>
  <si>
    <t>Środki pochodzące z budżetu Unii Europejskiej jako refundacja wydatków poniesionych ze środków własnych na realizację projektów własnych w ramach Regionalnego Programu Operacyjnego Województwa Podkarpackiego na lata 2007 - 2013</t>
  </si>
  <si>
    <t xml:space="preserve">Dopłaty do krajowych autobusowych przewozów pasażerskich z tytułu stosowania w tych przewozach obowiązujacych ulg ustawowych </t>
  </si>
  <si>
    <t xml:space="preserve">na zadania i cele publiczne z zakresu wychowania w trzeźwości i przeciwdziałania alkoholizmowi  w ramach "Wojewódzkiego Programu Profilaktyki i Rozwiązywania Problemów Alkoholowych" </t>
  </si>
  <si>
    <t xml:space="preserve">na zadania i cele z zakresu wspierania rodziny i systemu pieczy zastępczej w ramach "Wojewódzkiego Programu Wspierania Rodziny i Systemu Pieczy Zastępczej" </t>
  </si>
  <si>
    <t xml:space="preserve">Wpłata na Wojewódzki Fundusz Wsparcia Policji z przeznaczeniem na zakup sprzętu i wyposażenia specjalistycznego. </t>
  </si>
  <si>
    <t>Wpłata na Fundusz Wsparcia Bieszczadzkiego Oddziału Straży Granicznej z przeznaczeniem na zakup sprzętu i wyposażenia specjalistycznego.</t>
  </si>
  <si>
    <t xml:space="preserve">Wpłata na Wojewódzki Fundusz Wsparcia Straży Pożarnej z przeznaczeniem na zakup sprzętu i wyposażenia specjalistycznego. </t>
  </si>
  <si>
    <t>Medyczno-Społeczne Centrum Kształcenia Zawodowego 
i Ustawicznego  w  Rzeszowie</t>
  </si>
  <si>
    <t>Tabela Nr 1 do Uchwały IV/56/15
Sejmiku Województwa Podkarpackiego 
w Rzeszowie z dnia 26 stycznia 2015 r.</t>
  </si>
  <si>
    <t xml:space="preserve">Tabela Nr 2 do Uchwały Nr IV/56/15                   
Sejmiku Województwa Podkarpackiego 
w Rzeszowie  z dnia 26 stycznia 2015 r. </t>
  </si>
  <si>
    <t>Tabela Nr 3 do Uchwały IV/56/15
Sejmiku Województwa Podkarpackiego 
w Rzeszowie z dnia 26 stycznia 2015 r.</t>
  </si>
  <si>
    <t>Tabela Nr 4 do Uchwały IV/56/15
Sejmiku Województwa Podkarpackiego 
w Rzeszowie z dnia 26 stycznia 2015 r.</t>
  </si>
  <si>
    <t>Załącznik Nr 1
do  Uchwały Nr IV/56/15
Sejmiku Województwa Podkarpackiego 
 w Rzeszowie  z dnia 26 stycznia 2015 r.</t>
  </si>
  <si>
    <t>Załącznik Nr 2
do  Uchwały Nr IV/56/15
Sejmiku Województwa Podkarpackiego 
 w Rzeszowie  z dnia 26 stycznia 2015 r.</t>
  </si>
  <si>
    <t>Załącznik  Nr 3
do  Uchwały Nr  IV/56/15
Sejmiku Województwa Podkarpackiego 
 w Rzeszowie  z dnia  26 stycznia 2015 r.</t>
  </si>
  <si>
    <t>Załącznik Nr 4
do  Uchwały Nr IV/56/15
Sejmiku Województwa Podkarpackiego 
 w Rzeszowie  z dnia  26 stycznia 2015 r.</t>
  </si>
  <si>
    <t>Załącznik Nr 5
do  Uchwały Nr IV/56/15
Sejmiku Województwa Podkarpackiego 
 w Rzeszowie  z dnia 26 stycznia 2015 r.</t>
  </si>
  <si>
    <t>Załącznik Nr 6
do  Uchwały Nr IV/56/15
Sejmiku Województwa Podkarpackiego 
 w Rzeszowie  z dnia 26 stycznia 2015 r.</t>
  </si>
  <si>
    <t>Załącznik Nr 7
do  Uchwały Nr  IV/56/15
Sejmiku Województwa Podkarpackiego 
 w Rzeszowie  z dnia 26 stycznia 2015 r.</t>
  </si>
  <si>
    <t>Załącznik Nr 8
do  Uchwały Nr IV/56/15 
Sejmiku Województwa Podkarpackiego 
 w Rzeszowie  z dnia   26 stycznia 2015 r.</t>
  </si>
  <si>
    <t xml:space="preserve">Załącznik Nr 9
do  Uchwały Nr IV/56/15
Sejmiku Województwa Podkarpackiego 
 w Rzeszowie  z dnia 26 stycznia 2015 r. </t>
  </si>
  <si>
    <t xml:space="preserve">Załącznik Nr 10
do  Uchwały Nr IV/56/15
Sejmiku Województwa Podkarpackiego 
 w Rzeszowie  z dnia 26 stycznia 2015 r.  </t>
  </si>
  <si>
    <t xml:space="preserve">Załącznik Nr 11
do  Uchwały Nr IV/56/15 
Sejmiku Województwa Podkarpackiego 
 w Rzeszowie  z dnia 26 stycznia 2015 r. </t>
  </si>
  <si>
    <t>Załącznik Nr 12
do  Uchwały Nr IV/56/15
Sejmiku Województwa Podkarpackiego 
 w Rzeszowie  z dnia  26 stycznia 2015 r.</t>
  </si>
  <si>
    <t>Załącznik Nr 13
do  Uchwały Nr IV/56/15
Sejmiku Województwa Podkarpackiego 
 w Rzeszowie  z dnia 26 stycznia 2015 r.</t>
  </si>
  <si>
    <t>Załącznik Nr 14
do  Uchwały  Nr IV/56/15
Sejmiku Województwa Podkarpackiego 
 w Rzeszowie  z dnia 26 stycznia 2015 r.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</si>
</sst>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8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Times New Roman CE"/>
      <family val="1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i/>
      <sz val="11"/>
      <name val="Arial"/>
      <family val="2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Arial"/>
      <family val="2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i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 CE"/>
      <charset val="238"/>
    </font>
    <font>
      <b/>
      <sz val="8"/>
      <name val="Arial"/>
      <family val="2"/>
      <charset val="238"/>
    </font>
    <font>
      <b/>
      <sz val="8"/>
      <name val="Czcionka tekstu podstawowego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Arial CE"/>
      <charset val="238"/>
    </font>
    <font>
      <i/>
      <sz val="10"/>
      <color rgb="FFFF0000"/>
      <name val="Arial CE"/>
      <charset val="238"/>
    </font>
    <font>
      <sz val="11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rgb="FFFFFF66"/>
        <bgColor indexed="0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5DF41"/>
        <bgColor indexed="64"/>
      </patternFill>
    </fill>
    <fill>
      <patternFill patternType="solid">
        <fgColor rgb="FFCCCC00"/>
        <bgColor indexed="64"/>
      </patternFill>
    </fill>
  </fills>
  <borders count="17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7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>
      <alignment vertical="top"/>
    </xf>
    <xf numFmtId="0" fontId="5" fillId="0" borderId="0"/>
    <xf numFmtId="0" fontId="2" fillId="0" borderId="0"/>
    <xf numFmtId="0" fontId="5" fillId="0" borderId="0"/>
    <xf numFmtId="0" fontId="1" fillId="0" borderId="0"/>
  </cellStyleXfs>
  <cellXfs count="1895">
    <xf numFmtId="0" fontId="0" fillId="0" borderId="0" xfId="0"/>
    <xf numFmtId="0" fontId="5" fillId="0" borderId="0" xfId="1"/>
    <xf numFmtId="3" fontId="5" fillId="0" borderId="0" xfId="1" applyNumberFormat="1"/>
    <xf numFmtId="0" fontId="7" fillId="0" borderId="5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13" fillId="3" borderId="18" xfId="1" applyFont="1" applyFill="1" applyBorder="1" applyAlignment="1">
      <alignment horizontal="center" vertical="center" wrapText="1"/>
    </xf>
    <xf numFmtId="0" fontId="5" fillId="0" borderId="0" xfId="1" applyAlignment="1">
      <alignment horizontal="center"/>
    </xf>
    <xf numFmtId="0" fontId="5" fillId="0" borderId="0" xfId="1" applyBorder="1"/>
    <xf numFmtId="0" fontId="18" fillId="0" borderId="0" xfId="1" applyFont="1" applyAlignment="1">
      <alignment vertical="center" wrapText="1"/>
    </xf>
    <xf numFmtId="0" fontId="8" fillId="0" borderId="0" xfId="1" applyFont="1" applyBorder="1" applyAlignment="1">
      <alignment horizontal="right" vertical="center" wrapText="1"/>
    </xf>
    <xf numFmtId="0" fontId="22" fillId="0" borderId="0" xfId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3" fontId="7" fillId="0" borderId="37" xfId="1" applyNumberFormat="1" applyFont="1" applyBorder="1" applyAlignment="1">
      <alignment horizontal="right" vertical="center" wrapText="1"/>
    </xf>
    <xf numFmtId="4" fontId="5" fillId="0" borderId="0" xfId="1" applyNumberFormat="1"/>
    <xf numFmtId="3" fontId="20" fillId="2" borderId="7" xfId="1" applyNumberFormat="1" applyFont="1" applyFill="1" applyBorder="1" applyAlignment="1">
      <alignment vertical="center"/>
    </xf>
    <xf numFmtId="3" fontId="13" fillId="4" borderId="7" xfId="1" applyNumberFormat="1" applyFont="1" applyFill="1" applyBorder="1" applyAlignment="1">
      <alignment vertical="center"/>
    </xf>
    <xf numFmtId="0" fontId="13" fillId="4" borderId="14" xfId="1" applyFont="1" applyFill="1" applyBorder="1" applyAlignment="1">
      <alignment horizontal="center" vertical="center"/>
    </xf>
    <xf numFmtId="3" fontId="7" fillId="0" borderId="22" xfId="1" applyNumberFormat="1" applyFont="1" applyFill="1" applyBorder="1" applyAlignment="1">
      <alignment vertical="center"/>
    </xf>
    <xf numFmtId="0" fontId="15" fillId="0" borderId="12" xfId="1" applyFont="1" applyFill="1" applyBorder="1" applyAlignment="1">
      <alignment horizontal="center" vertical="center"/>
    </xf>
    <xf numFmtId="3" fontId="7" fillId="0" borderId="20" xfId="1" applyNumberFormat="1" applyFont="1" applyFill="1" applyBorder="1" applyAlignment="1">
      <alignment vertical="center"/>
    </xf>
    <xf numFmtId="0" fontId="7" fillId="0" borderId="54" xfId="1" applyFont="1" applyFill="1" applyBorder="1" applyAlignment="1">
      <alignment horizontal="left" vertical="center"/>
    </xf>
    <xf numFmtId="0" fontId="15" fillId="0" borderId="20" xfId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vertical="center"/>
    </xf>
    <xf numFmtId="0" fontId="7" fillId="0" borderId="5" xfId="1" applyFont="1" applyFill="1" applyBorder="1" applyAlignment="1">
      <alignment horizontal="left" vertical="center"/>
    </xf>
    <xf numFmtId="0" fontId="15" fillId="0" borderId="13" xfId="1" applyFont="1" applyFill="1" applyBorder="1" applyAlignment="1">
      <alignment horizontal="center" vertical="center"/>
    </xf>
    <xf numFmtId="3" fontId="13" fillId="3" borderId="7" xfId="1" applyNumberFormat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/>
    </xf>
    <xf numFmtId="0" fontId="13" fillId="3" borderId="18" xfId="1" applyFont="1" applyFill="1" applyBorder="1" applyAlignment="1">
      <alignment horizontal="center" vertical="center"/>
    </xf>
    <xf numFmtId="0" fontId="24" fillId="0" borderId="0" xfId="1" applyFont="1"/>
    <xf numFmtId="3" fontId="20" fillId="2" borderId="28" xfId="1" applyNumberFormat="1" applyFont="1" applyFill="1" applyBorder="1" applyAlignment="1">
      <alignment horizontal="right" vertical="center"/>
    </xf>
    <xf numFmtId="0" fontId="20" fillId="2" borderId="7" xfId="1" applyFont="1" applyFill="1" applyBorder="1" applyAlignment="1">
      <alignment horizontal="center" vertical="center"/>
    </xf>
    <xf numFmtId="3" fontId="13" fillId="3" borderId="7" xfId="1" applyNumberFormat="1" applyFont="1" applyFill="1" applyBorder="1" applyAlignment="1">
      <alignment vertical="center"/>
    </xf>
    <xf numFmtId="0" fontId="13" fillId="3" borderId="26" xfId="1" applyFont="1" applyFill="1" applyBorder="1" applyAlignment="1">
      <alignment horizontal="center" vertical="center"/>
    </xf>
    <xf numFmtId="3" fontId="7" fillId="0" borderId="26" xfId="1" applyNumberFormat="1" applyFont="1" applyFill="1" applyBorder="1" applyAlignment="1">
      <alignment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3" fontId="7" fillId="0" borderId="31" xfId="4" applyNumberFormat="1" applyFont="1" applyFill="1" applyBorder="1" applyAlignment="1">
      <alignment vertical="center"/>
    </xf>
    <xf numFmtId="0" fontId="7" fillId="0" borderId="54" xfId="1" applyFont="1" applyBorder="1" applyAlignment="1">
      <alignment vertical="center" wrapText="1"/>
    </xf>
    <xf numFmtId="3" fontId="7" fillId="0" borderId="30" xfId="4" applyNumberFormat="1" applyFont="1" applyFill="1" applyBorder="1" applyAlignment="1">
      <alignment vertical="center"/>
    </xf>
    <xf numFmtId="3" fontId="7" fillId="0" borderId="29" xfId="4" applyNumberFormat="1" applyFont="1" applyFill="1" applyBorder="1" applyAlignment="1">
      <alignment vertical="center"/>
    </xf>
    <xf numFmtId="3" fontId="7" fillId="0" borderId="29" xfId="4" applyNumberFormat="1" applyFont="1" applyBorder="1" applyAlignment="1">
      <alignment vertical="center"/>
    </xf>
    <xf numFmtId="3" fontId="7" fillId="0" borderId="30" xfId="4" applyNumberFormat="1" applyFont="1" applyBorder="1" applyAlignment="1">
      <alignment vertical="center"/>
    </xf>
    <xf numFmtId="0" fontId="15" fillId="0" borderId="13" xfId="1" applyFont="1" applyBorder="1" applyAlignment="1">
      <alignment horizontal="center" vertical="center"/>
    </xf>
    <xf numFmtId="3" fontId="7" fillId="0" borderId="31" xfId="1" applyNumberFormat="1" applyFont="1" applyBorder="1" applyAlignment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vertical="center" wrapText="1"/>
    </xf>
    <xf numFmtId="0" fontId="15" fillId="0" borderId="12" xfId="1" applyFont="1" applyBorder="1" applyAlignment="1">
      <alignment horizontal="center" vertical="center"/>
    </xf>
    <xf numFmtId="3" fontId="7" fillId="0" borderId="29" xfId="1" applyNumberFormat="1" applyFont="1" applyFill="1" applyBorder="1" applyAlignment="1">
      <alignment vertical="center"/>
    </xf>
    <xf numFmtId="0" fontId="7" fillId="0" borderId="54" xfId="1" applyFont="1" applyBorder="1" applyAlignment="1">
      <alignment horizontal="center" vertical="center"/>
    </xf>
    <xf numFmtId="3" fontId="7" fillId="0" borderId="30" xfId="1" applyNumberFormat="1" applyFont="1" applyFill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3" fontId="15" fillId="4" borderId="17" xfId="1" applyNumberFormat="1" applyFont="1" applyFill="1" applyBorder="1" applyAlignment="1">
      <alignment vertical="center"/>
    </xf>
    <xf numFmtId="0" fontId="15" fillId="4" borderId="18" xfId="1" applyFont="1" applyFill="1" applyBorder="1" applyAlignment="1">
      <alignment horizontal="center" vertical="center"/>
    </xf>
    <xf numFmtId="3" fontId="7" fillId="0" borderId="31" xfId="1" applyNumberFormat="1" applyFont="1" applyFill="1" applyBorder="1" applyAlignment="1">
      <alignment vertical="center"/>
    </xf>
    <xf numFmtId="0" fontId="15" fillId="0" borderId="22" xfId="1" applyFont="1" applyBorder="1" applyAlignment="1">
      <alignment horizontal="center" vertical="center"/>
    </xf>
    <xf numFmtId="3" fontId="13" fillId="2" borderId="7" xfId="1" applyNumberFormat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/>
    </xf>
    <xf numFmtId="0" fontId="7" fillId="0" borderId="0" xfId="1" applyFont="1"/>
    <xf numFmtId="0" fontId="24" fillId="3" borderId="7" xfId="1" applyFont="1" applyFill="1" applyBorder="1"/>
    <xf numFmtId="3" fontId="13" fillId="3" borderId="56" xfId="1" applyNumberFormat="1" applyFont="1" applyFill="1" applyBorder="1" applyAlignment="1">
      <alignment horizontal="right" vertical="center"/>
    </xf>
    <xf numFmtId="3" fontId="13" fillId="3" borderId="35" xfId="1" applyNumberFormat="1" applyFont="1" applyFill="1" applyBorder="1" applyAlignment="1">
      <alignment horizontal="right" vertical="center"/>
    </xf>
    <xf numFmtId="0" fontId="24" fillId="3" borderId="7" xfId="1" applyNumberFormat="1" applyFont="1" applyFill="1" applyBorder="1" applyAlignment="1">
      <alignment horizontal="center" vertical="center"/>
    </xf>
    <xf numFmtId="3" fontId="13" fillId="3" borderId="7" xfId="1" applyNumberFormat="1" applyFont="1" applyFill="1" applyBorder="1" applyAlignment="1">
      <alignment horizontal="right" vertical="center"/>
    </xf>
    <xf numFmtId="3" fontId="7" fillId="0" borderId="40" xfId="1" applyNumberFormat="1" applyFont="1" applyBorder="1" applyAlignment="1">
      <alignment horizontal="right" vertical="center"/>
    </xf>
    <xf numFmtId="0" fontId="7" fillId="0" borderId="40" xfId="1" applyNumberFormat="1" applyFont="1" applyBorder="1" applyAlignment="1">
      <alignment horizontal="center" vertical="center"/>
    </xf>
    <xf numFmtId="0" fontId="10" fillId="5" borderId="8" xfId="4" applyFont="1" applyFill="1" applyBorder="1" applyAlignment="1">
      <alignment vertical="center" wrapText="1"/>
    </xf>
    <xf numFmtId="3" fontId="10" fillId="0" borderId="47" xfId="4" applyNumberFormat="1" applyFont="1" applyBorder="1" applyAlignment="1">
      <alignment horizontal="right" vertical="center"/>
    </xf>
    <xf numFmtId="0" fontId="10" fillId="0" borderId="47" xfId="4" applyNumberFormat="1" applyFont="1" applyBorder="1" applyAlignment="1">
      <alignment horizontal="center" vertical="center"/>
    </xf>
    <xf numFmtId="3" fontId="14" fillId="0" borderId="47" xfId="4" applyNumberFormat="1" applyFont="1" applyBorder="1" applyAlignment="1">
      <alignment vertical="center"/>
    </xf>
    <xf numFmtId="3" fontId="7" fillId="0" borderId="40" xfId="1" applyNumberFormat="1" applyFont="1" applyBorder="1" applyAlignment="1">
      <alignment horizontal="right" vertical="center" wrapText="1"/>
    </xf>
    <xf numFmtId="0" fontId="7" fillId="5" borderId="40" xfId="1" applyNumberFormat="1" applyFont="1" applyFill="1" applyBorder="1" applyAlignment="1">
      <alignment horizontal="center" vertical="center"/>
    </xf>
    <xf numFmtId="0" fontId="7" fillId="5" borderId="37" xfId="1" applyNumberFormat="1" applyFont="1" applyFill="1" applyBorder="1" applyAlignment="1">
      <alignment horizontal="center" vertical="center"/>
    </xf>
    <xf numFmtId="3" fontId="7" fillId="0" borderId="47" xfId="1" applyNumberFormat="1" applyFont="1" applyBorder="1" applyAlignment="1">
      <alignment horizontal="right" vertical="center" wrapText="1"/>
    </xf>
    <xf numFmtId="0" fontId="7" fillId="5" borderId="47" xfId="1" applyNumberFormat="1" applyFont="1" applyFill="1" applyBorder="1" applyAlignment="1">
      <alignment horizontal="center" vertical="center"/>
    </xf>
    <xf numFmtId="3" fontId="15" fillId="5" borderId="47" xfId="1" applyNumberFormat="1" applyFont="1" applyFill="1" applyBorder="1" applyAlignment="1">
      <alignment horizontal="right" vertical="center"/>
    </xf>
    <xf numFmtId="0" fontId="15" fillId="5" borderId="48" xfId="1" applyFont="1" applyFill="1" applyBorder="1" applyAlignment="1">
      <alignment horizontal="center" vertical="center"/>
    </xf>
    <xf numFmtId="0" fontId="7" fillId="5" borderId="43" xfId="1" applyFont="1" applyFill="1" applyBorder="1" applyAlignment="1">
      <alignment horizontal="left" vertical="center" wrapText="1"/>
    </xf>
    <xf numFmtId="3" fontId="7" fillId="0" borderId="44" xfId="1" applyNumberFormat="1" applyFont="1" applyBorder="1" applyAlignment="1">
      <alignment horizontal="right" vertical="center" wrapText="1"/>
    </xf>
    <xf numFmtId="0" fontId="7" fillId="5" borderId="44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right"/>
    </xf>
    <xf numFmtId="49" fontId="5" fillId="0" borderId="0" xfId="1" applyNumberFormat="1" applyAlignment="1">
      <alignment horizontal="center" vertical="center"/>
    </xf>
    <xf numFmtId="0" fontId="23" fillId="0" borderId="0" xfId="1" applyFont="1"/>
    <xf numFmtId="0" fontId="23" fillId="0" borderId="0" xfId="1" applyFont="1" applyAlignment="1">
      <alignment horizontal="center"/>
    </xf>
    <xf numFmtId="49" fontId="23" fillId="0" borderId="0" xfId="1" applyNumberFormat="1" applyFont="1" applyAlignment="1">
      <alignment horizontal="center" vertical="center"/>
    </xf>
    <xf numFmtId="49" fontId="23" fillId="0" borderId="0" xfId="1" applyNumberFormat="1" applyFont="1" applyAlignment="1">
      <alignment horizontal="center"/>
    </xf>
    <xf numFmtId="3" fontId="23" fillId="0" borderId="0" xfId="1" applyNumberFormat="1" applyFont="1" applyAlignment="1">
      <alignment horizontal="right"/>
    </xf>
    <xf numFmtId="0" fontId="5" fillId="0" borderId="0" xfId="1" applyAlignment="1">
      <alignment vertical="center"/>
    </xf>
    <xf numFmtId="3" fontId="23" fillId="0" borderId="0" xfId="1" applyNumberFormat="1" applyFont="1" applyAlignment="1">
      <alignment horizontal="right" vertical="center"/>
    </xf>
    <xf numFmtId="0" fontId="26" fillId="0" borderId="0" xfId="1" applyFont="1"/>
    <xf numFmtId="0" fontId="27" fillId="3" borderId="7" xfId="1" applyFont="1" applyFill="1" applyBorder="1" applyAlignment="1">
      <alignment vertical="center"/>
    </xf>
    <xf numFmtId="49" fontId="13" fillId="3" borderId="7" xfId="1" applyNumberFormat="1" applyFont="1" applyFill="1" applyBorder="1" applyAlignment="1">
      <alignment horizontal="center" vertical="center"/>
    </xf>
    <xf numFmtId="3" fontId="7" fillId="0" borderId="47" xfId="1" applyNumberFormat="1" applyFont="1" applyBorder="1" applyAlignment="1">
      <alignment horizontal="right" vertical="center"/>
    </xf>
    <xf numFmtId="0" fontId="7" fillId="0" borderId="47" xfId="1" applyNumberFormat="1" applyFont="1" applyBorder="1" applyAlignment="1">
      <alignment horizontal="center" vertical="center"/>
    </xf>
    <xf numFmtId="0" fontId="7" fillId="0" borderId="38" xfId="1" applyFont="1" applyBorder="1" applyAlignment="1">
      <alignment vertical="center" wrapText="1"/>
    </xf>
    <xf numFmtId="3" fontId="7" fillId="5" borderId="36" xfId="1" applyNumberFormat="1" applyFont="1" applyFill="1" applyBorder="1" applyAlignment="1">
      <alignment horizontal="right" vertical="center"/>
    </xf>
    <xf numFmtId="3" fontId="7" fillId="0" borderId="36" xfId="1" applyNumberFormat="1" applyFont="1" applyFill="1" applyBorder="1" applyAlignment="1">
      <alignment horizontal="right" vertical="center"/>
    </xf>
    <xf numFmtId="0" fontId="7" fillId="0" borderId="36" xfId="1" applyNumberFormat="1" applyFont="1" applyFill="1" applyBorder="1" applyAlignment="1">
      <alignment horizontal="center" vertical="center"/>
    </xf>
    <xf numFmtId="49" fontId="15" fillId="0" borderId="36" xfId="1" applyNumberFormat="1" applyFont="1" applyBorder="1" applyAlignment="1">
      <alignment horizontal="center" vertical="center"/>
    </xf>
    <xf numFmtId="0" fontId="12" fillId="0" borderId="59" xfId="1" applyFont="1" applyBorder="1" applyAlignment="1">
      <alignment horizontal="center" vertical="center"/>
    </xf>
    <xf numFmtId="0" fontId="10" fillId="0" borderId="38" xfId="1" applyFont="1" applyBorder="1" applyAlignment="1">
      <alignment vertical="center" wrapText="1"/>
    </xf>
    <xf numFmtId="0" fontId="10" fillId="0" borderId="39" xfId="1" applyFont="1" applyBorder="1" applyAlignment="1">
      <alignment vertical="center" wrapText="1"/>
    </xf>
    <xf numFmtId="3" fontId="7" fillId="0" borderId="40" xfId="1" applyNumberFormat="1" applyFont="1" applyFill="1" applyBorder="1" applyAlignment="1">
      <alignment horizontal="right" vertical="center"/>
    </xf>
    <xf numFmtId="0" fontId="7" fillId="0" borderId="40" xfId="1" applyNumberFormat="1" applyFont="1" applyFill="1" applyBorder="1" applyAlignment="1">
      <alignment horizontal="center" vertical="center"/>
    </xf>
    <xf numFmtId="49" fontId="15" fillId="0" borderId="40" xfId="1" applyNumberFormat="1" applyFont="1" applyBorder="1" applyAlignment="1">
      <alignment horizontal="center" vertical="center"/>
    </xf>
    <xf numFmtId="0" fontId="10" fillId="0" borderId="8" xfId="1" applyFont="1" applyBorder="1" applyAlignment="1">
      <alignment vertical="center" wrapText="1"/>
    </xf>
    <xf numFmtId="3" fontId="7" fillId="0" borderId="47" xfId="1" applyNumberFormat="1" applyFont="1" applyFill="1" applyBorder="1" applyAlignment="1">
      <alignment horizontal="right" vertical="center"/>
    </xf>
    <xf numFmtId="0" fontId="7" fillId="0" borderId="47" xfId="1" applyNumberFormat="1" applyFont="1" applyFill="1" applyBorder="1" applyAlignment="1">
      <alignment horizontal="center" vertical="center"/>
    </xf>
    <xf numFmtId="49" fontId="15" fillId="0" borderId="47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10" fillId="0" borderId="38" xfId="1" applyFont="1" applyBorder="1" applyAlignment="1">
      <alignment horizontal="left" vertical="center" wrapText="1"/>
    </xf>
    <xf numFmtId="3" fontId="7" fillId="0" borderId="36" xfId="1" applyNumberFormat="1" applyFont="1" applyBorder="1" applyAlignment="1">
      <alignment horizontal="right" vertical="center" wrapText="1"/>
    </xf>
    <xf numFmtId="0" fontId="7" fillId="0" borderId="36" xfId="1" applyNumberFormat="1" applyFont="1" applyBorder="1" applyAlignment="1">
      <alignment horizontal="center" vertical="center" wrapText="1"/>
    </xf>
    <xf numFmtId="0" fontId="15" fillId="0" borderId="36" xfId="1" applyFont="1" applyBorder="1" applyAlignment="1">
      <alignment horizontal="center" vertical="center"/>
    </xf>
    <xf numFmtId="0" fontId="10" fillId="0" borderId="38" xfId="1" applyFont="1" applyFill="1" applyBorder="1" applyAlignment="1">
      <alignment horizontal="left" vertical="center" wrapText="1"/>
    </xf>
    <xf numFmtId="3" fontId="7" fillId="0" borderId="36" xfId="1" applyNumberFormat="1" applyFont="1" applyFill="1" applyBorder="1" applyAlignment="1">
      <alignment horizontal="right" vertical="center" wrapText="1"/>
    </xf>
    <xf numFmtId="0" fontId="7" fillId="0" borderId="36" xfId="1" applyNumberFormat="1" applyFont="1" applyFill="1" applyBorder="1" applyAlignment="1">
      <alignment horizontal="center" vertical="center" wrapText="1"/>
    </xf>
    <xf numFmtId="49" fontId="15" fillId="0" borderId="36" xfId="1" applyNumberFormat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left" vertical="center" wrapText="1"/>
    </xf>
    <xf numFmtId="3" fontId="7" fillId="0" borderId="40" xfId="1" applyNumberFormat="1" applyFont="1" applyFill="1" applyBorder="1" applyAlignment="1">
      <alignment horizontal="right" vertical="center" wrapText="1"/>
    </xf>
    <xf numFmtId="0" fontId="7" fillId="0" borderId="40" xfId="1" applyNumberFormat="1" applyFont="1" applyFill="1" applyBorder="1" applyAlignment="1">
      <alignment horizontal="center" vertical="center" wrapText="1"/>
    </xf>
    <xf numFmtId="49" fontId="15" fillId="0" borderId="40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left" vertical="center" wrapText="1"/>
    </xf>
    <xf numFmtId="3" fontId="7" fillId="0" borderId="47" xfId="1" applyNumberFormat="1" applyFont="1" applyFill="1" applyBorder="1" applyAlignment="1">
      <alignment horizontal="right" vertical="center" wrapText="1"/>
    </xf>
    <xf numFmtId="0" fontId="7" fillId="0" borderId="47" xfId="1" applyNumberFormat="1" applyFont="1" applyFill="1" applyBorder="1" applyAlignment="1">
      <alignment horizontal="center" vertical="center" wrapText="1"/>
    </xf>
    <xf numFmtId="49" fontId="15" fillId="0" borderId="47" xfId="1" applyNumberFormat="1" applyFont="1" applyFill="1" applyBorder="1" applyAlignment="1">
      <alignment horizontal="center" vertical="center"/>
    </xf>
    <xf numFmtId="0" fontId="13" fillId="3" borderId="56" xfId="1" applyFont="1" applyFill="1" applyBorder="1" applyAlignment="1">
      <alignment horizontal="center" vertical="center" wrapText="1"/>
    </xf>
    <xf numFmtId="0" fontId="13" fillId="3" borderId="35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24" fillId="0" borderId="7" xfId="1" applyFont="1" applyFill="1" applyBorder="1" applyAlignment="1">
      <alignment horizontal="left" vertical="center" wrapText="1"/>
    </xf>
    <xf numFmtId="3" fontId="24" fillId="0" borderId="7" xfId="1" applyNumberFormat="1" applyFont="1" applyFill="1" applyBorder="1" applyAlignment="1">
      <alignment horizontal="right" vertical="center"/>
    </xf>
    <xf numFmtId="49" fontId="24" fillId="0" borderId="7" xfId="1" applyNumberFormat="1" applyFont="1" applyFill="1" applyBorder="1" applyAlignment="1">
      <alignment horizontal="center" vertical="center"/>
    </xf>
    <xf numFmtId="49" fontId="13" fillId="0" borderId="7" xfId="1" applyNumberFormat="1" applyFont="1" applyFill="1" applyBorder="1" applyAlignment="1">
      <alignment horizontal="center" vertical="center"/>
    </xf>
    <xf numFmtId="0" fontId="27" fillId="2" borderId="7" xfId="1" applyFont="1" applyFill="1" applyBorder="1" applyAlignment="1">
      <alignment horizontal="center" vertical="center" wrapText="1"/>
    </xf>
    <xf numFmtId="3" fontId="20" fillId="2" borderId="7" xfId="1" applyNumberFormat="1" applyFont="1" applyFill="1" applyBorder="1" applyAlignment="1">
      <alignment horizontal="right" vertical="center"/>
    </xf>
    <xf numFmtId="0" fontId="24" fillId="0" borderId="23" xfId="1" applyFont="1" applyBorder="1" applyAlignment="1">
      <alignment horizontal="left" vertical="center" wrapText="1"/>
    </xf>
    <xf numFmtId="3" fontId="24" fillId="0" borderId="23" xfId="1" applyNumberFormat="1" applyFont="1" applyBorder="1" applyAlignment="1">
      <alignment horizontal="center" vertical="center" wrapText="1"/>
    </xf>
    <xf numFmtId="3" fontId="28" fillId="0" borderId="23" xfId="1" applyNumberFormat="1" applyFont="1" applyBorder="1" applyAlignment="1">
      <alignment horizontal="right" vertical="center"/>
    </xf>
    <xf numFmtId="3" fontId="28" fillId="0" borderId="0" xfId="1" applyNumberFormat="1" applyFont="1" applyBorder="1" applyAlignment="1">
      <alignment horizontal="right" vertical="center"/>
    </xf>
    <xf numFmtId="0" fontId="24" fillId="0" borderId="23" xfId="1" applyNumberFormat="1" applyFont="1" applyBorder="1" applyAlignment="1">
      <alignment horizontal="center" vertical="center"/>
    </xf>
    <xf numFmtId="49" fontId="28" fillId="0" borderId="51" xfId="1" applyNumberFormat="1" applyFont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/>
    </xf>
    <xf numFmtId="0" fontId="7" fillId="6" borderId="7" xfId="1" applyFont="1" applyFill="1" applyBorder="1"/>
    <xf numFmtId="3" fontId="9" fillId="6" borderId="7" xfId="1" applyNumberFormat="1" applyFont="1" applyFill="1" applyBorder="1" applyAlignment="1">
      <alignment horizontal="right" vertical="center"/>
    </xf>
    <xf numFmtId="3" fontId="13" fillId="6" borderId="7" xfId="1" applyNumberFormat="1" applyFont="1" applyFill="1" applyBorder="1" applyAlignment="1">
      <alignment horizontal="right" vertical="center"/>
    </xf>
    <xf numFmtId="3" fontId="13" fillId="6" borderId="18" xfId="1" applyNumberFormat="1" applyFont="1" applyFill="1" applyBorder="1" applyAlignment="1">
      <alignment horizontal="right" vertical="center"/>
    </xf>
    <xf numFmtId="0" fontId="15" fillId="0" borderId="0" xfId="1" applyFont="1" applyAlignment="1">
      <alignment horizontal="center" vertical="center" wrapText="1"/>
    </xf>
    <xf numFmtId="0" fontId="19" fillId="0" borderId="0" xfId="1" applyFont="1" applyAlignment="1">
      <alignment wrapText="1"/>
    </xf>
    <xf numFmtId="0" fontId="27" fillId="2" borderId="17" xfId="1" applyFont="1" applyFill="1" applyBorder="1" applyAlignment="1">
      <alignment horizontal="center" vertical="center" wrapText="1"/>
    </xf>
    <xf numFmtId="3" fontId="13" fillId="2" borderId="14" xfId="1" applyNumberFormat="1" applyFont="1" applyFill="1" applyBorder="1" applyAlignment="1">
      <alignment horizontal="right" vertical="center"/>
    </xf>
    <xf numFmtId="3" fontId="13" fillId="2" borderId="7" xfId="1" applyNumberFormat="1" applyFont="1" applyFill="1" applyBorder="1" applyAlignment="1">
      <alignment horizontal="right" vertical="center"/>
    </xf>
    <xf numFmtId="49" fontId="13" fillId="2" borderId="7" xfId="1" applyNumberFormat="1" applyFont="1" applyFill="1" applyBorder="1" applyAlignment="1">
      <alignment horizontal="center" vertical="center"/>
    </xf>
    <xf numFmtId="0" fontId="24" fillId="0" borderId="7" xfId="1" applyFont="1" applyBorder="1" applyAlignment="1">
      <alignment horizontal="left" vertical="center" wrapText="1"/>
    </xf>
    <xf numFmtId="3" fontId="24" fillId="0" borderId="51" xfId="1" applyNumberFormat="1" applyFont="1" applyBorder="1" applyAlignment="1">
      <alignment horizontal="right" vertical="center"/>
    </xf>
    <xf numFmtId="3" fontId="24" fillId="0" borderId="1" xfId="1" applyNumberFormat="1" applyFont="1" applyBorder="1" applyAlignment="1">
      <alignment horizontal="right" vertical="center"/>
    </xf>
    <xf numFmtId="3" fontId="13" fillId="0" borderId="19" xfId="1" applyNumberFormat="1" applyFont="1" applyBorder="1" applyAlignment="1">
      <alignment horizontal="right" vertical="center"/>
    </xf>
    <xf numFmtId="49" fontId="24" fillId="0" borderId="23" xfId="1" applyNumberFormat="1" applyFont="1" applyBorder="1" applyAlignment="1">
      <alignment horizontal="center" vertical="center" wrapText="1"/>
    </xf>
    <xf numFmtId="49" fontId="24" fillId="0" borderId="0" xfId="1" applyNumberFormat="1" applyFont="1" applyBorder="1" applyAlignment="1">
      <alignment horizontal="center" vertical="center" wrapText="1"/>
    </xf>
    <xf numFmtId="49" fontId="24" fillId="0" borderId="7" xfId="1" applyNumberFormat="1" applyFont="1" applyBorder="1" applyAlignment="1">
      <alignment horizontal="center" vertical="center"/>
    </xf>
    <xf numFmtId="0" fontId="24" fillId="4" borderId="17" xfId="1" applyFont="1" applyFill="1" applyBorder="1"/>
    <xf numFmtId="3" fontId="25" fillId="4" borderId="7" xfId="1" applyNumberFormat="1" applyFont="1" applyFill="1" applyBorder="1" applyAlignment="1">
      <alignment horizontal="right" vertical="center"/>
    </xf>
    <xf numFmtId="3" fontId="13" fillId="4" borderId="56" xfId="1" applyNumberFormat="1" applyFont="1" applyFill="1" applyBorder="1" applyAlignment="1">
      <alignment horizontal="right" vertical="center"/>
    </xf>
    <xf numFmtId="3" fontId="13" fillId="4" borderId="35" xfId="1" applyNumberFormat="1" applyFont="1" applyFill="1" applyBorder="1" applyAlignment="1">
      <alignment horizontal="right" vertical="center"/>
    </xf>
    <xf numFmtId="3" fontId="13" fillId="4" borderId="7" xfId="1" applyNumberFormat="1" applyFont="1" applyFill="1" applyBorder="1" applyAlignment="1">
      <alignment horizontal="right" vertical="center"/>
    </xf>
    <xf numFmtId="3" fontId="13" fillId="3" borderId="36" xfId="1" applyNumberFormat="1" applyFont="1" applyFill="1" applyBorder="1" applyAlignment="1">
      <alignment horizontal="right" vertical="center"/>
    </xf>
    <xf numFmtId="3" fontId="24" fillId="0" borderId="22" xfId="1" applyNumberFormat="1" applyFont="1" applyBorder="1" applyAlignment="1">
      <alignment horizontal="right" vertical="center"/>
    </xf>
    <xf numFmtId="3" fontId="24" fillId="0" borderId="52" xfId="1" applyNumberFormat="1" applyFont="1" applyBorder="1" applyAlignment="1">
      <alignment horizontal="right" vertical="center"/>
    </xf>
    <xf numFmtId="3" fontId="24" fillId="0" borderId="44" xfId="1" applyNumberFormat="1" applyFont="1" applyBorder="1" applyAlignment="1">
      <alignment horizontal="right" vertical="center"/>
    </xf>
    <xf numFmtId="3" fontId="24" fillId="0" borderId="4" xfId="1" applyNumberFormat="1" applyFont="1" applyBorder="1" applyAlignment="1">
      <alignment horizontal="right" vertical="center"/>
    </xf>
    <xf numFmtId="0" fontId="24" fillId="0" borderId="52" xfId="1" applyFont="1" applyBorder="1" applyAlignment="1">
      <alignment horizontal="center" vertical="center" wrapText="1"/>
    </xf>
    <xf numFmtId="49" fontId="24" fillId="0" borderId="4" xfId="1" applyNumberFormat="1" applyFont="1" applyBorder="1" applyAlignment="1">
      <alignment horizontal="center" vertical="center"/>
    </xf>
    <xf numFmtId="3" fontId="13" fillId="0" borderId="20" xfId="1" applyNumberFormat="1" applyFont="1" applyBorder="1" applyAlignment="1">
      <alignment horizontal="right" vertical="center"/>
    </xf>
    <xf numFmtId="3" fontId="13" fillId="0" borderId="50" xfId="1" applyNumberFormat="1" applyFont="1" applyBorder="1" applyAlignment="1">
      <alignment horizontal="right" vertical="center"/>
    </xf>
    <xf numFmtId="3" fontId="13" fillId="0" borderId="37" xfId="1" applyNumberFormat="1" applyFont="1" applyBorder="1" applyAlignment="1">
      <alignment horizontal="right" vertical="center"/>
    </xf>
    <xf numFmtId="3" fontId="13" fillId="0" borderId="49" xfId="1" applyNumberFormat="1" applyFont="1" applyBorder="1" applyAlignment="1">
      <alignment horizontal="right" vertical="center"/>
    </xf>
    <xf numFmtId="3" fontId="13" fillId="0" borderId="24" xfId="1" applyNumberFormat="1" applyFont="1" applyBorder="1" applyAlignment="1">
      <alignment horizontal="right" vertical="center"/>
    </xf>
    <xf numFmtId="0" fontId="13" fillId="3" borderId="50" xfId="1" applyFont="1" applyFill="1" applyBorder="1" applyAlignment="1">
      <alignment horizontal="center" vertical="center" wrapText="1"/>
    </xf>
    <xf numFmtId="0" fontId="13" fillId="3" borderId="37" xfId="1" applyFont="1" applyFill="1" applyBorder="1" applyAlignment="1">
      <alignment horizontal="center" vertical="center" wrapText="1"/>
    </xf>
    <xf numFmtId="0" fontId="13" fillId="3" borderId="49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top"/>
    </xf>
    <xf numFmtId="0" fontId="29" fillId="0" borderId="0" xfId="1" applyFont="1" applyAlignment="1">
      <alignment vertical="center"/>
    </xf>
    <xf numFmtId="3" fontId="29" fillId="0" borderId="0" xfId="1" applyNumberFormat="1" applyFont="1" applyBorder="1" applyAlignment="1">
      <alignment horizontal="right"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49" fontId="30" fillId="0" borderId="0" xfId="1" applyNumberFormat="1" applyFont="1" applyBorder="1" applyAlignment="1">
      <alignment horizontal="center" vertical="top"/>
    </xf>
    <xf numFmtId="49" fontId="29" fillId="0" borderId="0" xfId="1" applyNumberFormat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4" fillId="0" borderId="20" xfId="1" applyFont="1" applyBorder="1" applyAlignment="1">
      <alignment horizontal="center" vertical="center"/>
    </xf>
    <xf numFmtId="0" fontId="8" fillId="0" borderId="0" xfId="1" applyFont="1" applyAlignment="1">
      <alignment horizontal="right" wrapText="1"/>
    </xf>
    <xf numFmtId="0" fontId="7" fillId="0" borderId="0" xfId="1" applyFont="1" applyAlignment="1">
      <alignment horizontal="center" vertical="center"/>
    </xf>
    <xf numFmtId="0" fontId="6" fillId="0" borderId="0" xfId="2"/>
    <xf numFmtId="3" fontId="23" fillId="0" borderId="0" xfId="2" applyNumberFormat="1" applyFont="1" applyBorder="1"/>
    <xf numFmtId="0" fontId="23" fillId="0" borderId="0" xfId="11" applyFont="1" applyBorder="1" applyAlignment="1">
      <alignment wrapText="1"/>
    </xf>
    <xf numFmtId="0" fontId="23" fillId="0" borderId="0" xfId="2" applyFont="1" applyBorder="1" applyAlignment="1">
      <alignment horizontal="center"/>
    </xf>
    <xf numFmtId="3" fontId="33" fillId="0" borderId="0" xfId="2" applyNumberFormat="1" applyFont="1" applyBorder="1"/>
    <xf numFmtId="0" fontId="34" fillId="0" borderId="0" xfId="2" applyFont="1" applyBorder="1" applyAlignment="1">
      <alignment horizontal="center"/>
    </xf>
    <xf numFmtId="3" fontId="6" fillId="0" borderId="0" xfId="2" applyNumberFormat="1"/>
    <xf numFmtId="3" fontId="13" fillId="2" borderId="17" xfId="2" applyNumberFormat="1" applyFont="1" applyFill="1" applyBorder="1" applyAlignment="1">
      <alignment vertical="center"/>
    </xf>
    <xf numFmtId="3" fontId="13" fillId="2" borderId="7" xfId="2" applyNumberFormat="1" applyFont="1" applyFill="1" applyBorder="1" applyAlignment="1">
      <alignment vertical="center"/>
    </xf>
    <xf numFmtId="0" fontId="7" fillId="0" borderId="5" xfId="11" applyFont="1" applyBorder="1"/>
    <xf numFmtId="0" fontId="7" fillId="0" borderId="3" xfId="11" applyFont="1" applyBorder="1"/>
    <xf numFmtId="0" fontId="7" fillId="0" borderId="54" xfId="11" applyFont="1" applyBorder="1"/>
    <xf numFmtId="0" fontId="35" fillId="0" borderId="0" xfId="2" applyFont="1"/>
    <xf numFmtId="3" fontId="35" fillId="0" borderId="0" xfId="2" applyNumberFormat="1" applyFont="1"/>
    <xf numFmtId="0" fontId="7" fillId="0" borderId="0" xfId="2" applyFont="1" applyBorder="1"/>
    <xf numFmtId="0" fontId="7" fillId="0" borderId="7" xfId="2" applyFont="1" applyFill="1" applyBorder="1" applyAlignment="1">
      <alignment horizontal="center"/>
    </xf>
    <xf numFmtId="0" fontId="7" fillId="0" borderId="3" xfId="11" applyFont="1" applyBorder="1" applyAlignment="1">
      <alignment wrapText="1"/>
    </xf>
    <xf numFmtId="0" fontId="7" fillId="0" borderId="54" xfId="11" applyFont="1" applyBorder="1" applyAlignment="1">
      <alignment wrapText="1"/>
    </xf>
    <xf numFmtId="0" fontId="7" fillId="0" borderId="5" xfId="11" applyFont="1" applyFill="1" applyBorder="1"/>
    <xf numFmtId="3" fontId="6" fillId="0" borderId="0" xfId="2" applyNumberFormat="1" applyFont="1"/>
    <xf numFmtId="0" fontId="7" fillId="0" borderId="0" xfId="11" applyFont="1" applyFill="1" applyBorder="1" applyAlignment="1">
      <alignment wrapText="1"/>
    </xf>
    <xf numFmtId="3" fontId="15" fillId="4" borderId="17" xfId="2" applyNumberFormat="1" applyFont="1" applyFill="1" applyBorder="1" applyAlignment="1">
      <alignment horizontal="right"/>
    </xf>
    <xf numFmtId="3" fontId="15" fillId="4" borderId="7" xfId="2" applyNumberFormat="1" applyFont="1" applyFill="1" applyBorder="1" applyAlignment="1">
      <alignment horizontal="right"/>
    </xf>
    <xf numFmtId="0" fontId="13" fillId="2" borderId="17" xfId="2" applyFont="1" applyFill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14" xfId="2" applyFont="1" applyFill="1" applyBorder="1" applyAlignment="1">
      <alignment horizontal="center" vertical="center"/>
    </xf>
    <xf numFmtId="0" fontId="7" fillId="0" borderId="0" xfId="2" applyFont="1"/>
    <xf numFmtId="0" fontId="15" fillId="0" borderId="62" xfId="1" applyFont="1" applyFill="1" applyBorder="1" applyAlignment="1">
      <alignment horizontal="center" vertical="center"/>
    </xf>
    <xf numFmtId="0" fontId="7" fillId="0" borderId="69" xfId="1" applyFont="1" applyBorder="1" applyAlignment="1">
      <alignment vertical="center" wrapText="1"/>
    </xf>
    <xf numFmtId="3" fontId="15" fillId="0" borderId="69" xfId="1" applyNumberFormat="1" applyFont="1" applyBorder="1" applyAlignment="1">
      <alignment horizontal="right" vertical="center"/>
    </xf>
    <xf numFmtId="0" fontId="7" fillId="0" borderId="69" xfId="1" applyNumberFormat="1" applyFont="1" applyBorder="1" applyAlignment="1">
      <alignment horizontal="center" vertical="center"/>
    </xf>
    <xf numFmtId="3" fontId="7" fillId="0" borderId="69" xfId="1" applyNumberFormat="1" applyFont="1" applyBorder="1" applyAlignment="1">
      <alignment horizontal="right" vertical="center"/>
    </xf>
    <xf numFmtId="0" fontId="7" fillId="0" borderId="63" xfId="1" applyFont="1" applyBorder="1" applyAlignment="1">
      <alignment horizontal="left" vertical="center" wrapText="1"/>
    </xf>
    <xf numFmtId="0" fontId="15" fillId="0" borderId="64" xfId="1" applyFont="1" applyFill="1" applyBorder="1" applyAlignment="1">
      <alignment horizontal="center" vertical="center"/>
    </xf>
    <xf numFmtId="0" fontId="7" fillId="0" borderId="65" xfId="1" applyFont="1" applyBorder="1" applyAlignment="1">
      <alignment vertical="center" wrapText="1"/>
    </xf>
    <xf numFmtId="0" fontId="7" fillId="0" borderId="65" xfId="1" applyNumberFormat="1" applyFont="1" applyBorder="1" applyAlignment="1">
      <alignment horizontal="center" vertical="center"/>
    </xf>
    <xf numFmtId="3" fontId="7" fillId="0" borderId="65" xfId="1" applyNumberFormat="1" applyFont="1" applyBorder="1" applyAlignment="1">
      <alignment horizontal="right" vertical="center"/>
    </xf>
    <xf numFmtId="0" fontId="5" fillId="0" borderId="66" xfId="1" applyBorder="1" applyAlignment="1">
      <alignment wrapText="1"/>
    </xf>
    <xf numFmtId="3" fontId="14" fillId="0" borderId="69" xfId="4" applyNumberFormat="1" applyFont="1" applyBorder="1" applyAlignment="1">
      <alignment horizontal="right" vertical="center"/>
    </xf>
    <xf numFmtId="0" fontId="10" fillId="0" borderId="69" xfId="4" applyNumberFormat="1" applyFont="1" applyBorder="1" applyAlignment="1">
      <alignment horizontal="center" vertical="center"/>
    </xf>
    <xf numFmtId="3" fontId="10" fillId="0" borderId="69" xfId="4" applyNumberFormat="1" applyFont="1" applyBorder="1" applyAlignment="1">
      <alignment horizontal="right" vertical="center"/>
    </xf>
    <xf numFmtId="0" fontId="10" fillId="5" borderId="63" xfId="4" applyFont="1" applyFill="1" applyBorder="1" applyAlignment="1">
      <alignment vertical="center" wrapText="1"/>
    </xf>
    <xf numFmtId="0" fontId="7" fillId="5" borderId="63" xfId="1" applyFont="1" applyFill="1" applyBorder="1" applyAlignment="1">
      <alignment horizontal="left" vertical="center" wrapText="1"/>
    </xf>
    <xf numFmtId="0" fontId="7" fillId="0" borderId="24" xfId="1" applyFont="1" applyBorder="1" applyAlignment="1">
      <alignment horizontal="center" vertical="center"/>
    </xf>
    <xf numFmtId="0" fontId="14" fillId="0" borderId="69" xfId="4" applyFont="1" applyBorder="1" applyAlignment="1">
      <alignment horizontal="center" vertical="center"/>
    </xf>
    <xf numFmtId="0" fontId="10" fillId="0" borderId="47" xfId="4" applyFont="1" applyBorder="1" applyAlignment="1">
      <alignment horizontal="left" vertical="center" wrapText="1"/>
    </xf>
    <xf numFmtId="0" fontId="10" fillId="0" borderId="69" xfId="4" applyFont="1" applyBorder="1" applyAlignment="1">
      <alignment horizontal="left" vertical="center" wrapText="1"/>
    </xf>
    <xf numFmtId="0" fontId="14" fillId="0" borderId="48" xfId="4" applyFont="1" applyBorder="1" applyAlignment="1">
      <alignment horizontal="center" vertical="center"/>
    </xf>
    <xf numFmtId="0" fontId="14" fillId="0" borderId="62" xfId="4" applyFont="1" applyBorder="1" applyAlignment="1">
      <alignment horizontal="center" vertical="center"/>
    </xf>
    <xf numFmtId="0" fontId="14" fillId="0" borderId="47" xfId="4" applyFont="1" applyBorder="1" applyAlignment="1">
      <alignment horizontal="center" vertical="center"/>
    </xf>
    <xf numFmtId="0" fontId="15" fillId="0" borderId="62" xfId="1" applyFont="1" applyFill="1" applyBorder="1" applyAlignment="1">
      <alignment horizontal="center" vertical="center"/>
    </xf>
    <xf numFmtId="0" fontId="7" fillId="0" borderId="69" xfId="1" applyFont="1" applyBorder="1" applyAlignment="1">
      <alignment horizontal="left" vertical="center" wrapText="1"/>
    </xf>
    <xf numFmtId="0" fontId="5" fillId="0" borderId="69" xfId="1" applyBorder="1" applyAlignment="1">
      <alignment horizontal="left" vertical="center"/>
    </xf>
    <xf numFmtId="0" fontId="18" fillId="0" borderId="0" xfId="1" applyFont="1" applyAlignment="1">
      <alignment horizontal="center" vertical="center" wrapText="1"/>
    </xf>
    <xf numFmtId="49" fontId="15" fillId="5" borderId="47" xfId="1" applyNumberFormat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7" fillId="0" borderId="5" xfId="11" applyFont="1" applyBorder="1" applyAlignment="1">
      <alignment wrapText="1"/>
    </xf>
    <xf numFmtId="0" fontId="7" fillId="0" borderId="5" xfId="11" applyFont="1" applyBorder="1" applyAlignment="1">
      <alignment vertical="center" wrapText="1"/>
    </xf>
    <xf numFmtId="0" fontId="7" fillId="0" borderId="54" xfId="11" applyFont="1" applyBorder="1" applyAlignment="1">
      <alignment vertical="center" wrapText="1"/>
    </xf>
    <xf numFmtId="0" fontId="7" fillId="0" borderId="3" xfId="11" applyFont="1" applyBorder="1" applyAlignment="1">
      <alignment vertical="center" wrapText="1"/>
    </xf>
    <xf numFmtId="3" fontId="7" fillId="0" borderId="23" xfId="2" applyNumberFormat="1" applyFont="1" applyBorder="1" applyAlignment="1">
      <alignment vertical="center"/>
    </xf>
    <xf numFmtId="3" fontId="7" fillId="0" borderId="10" xfId="2" applyNumberFormat="1" applyFont="1" applyBorder="1" applyAlignment="1">
      <alignment vertical="center"/>
    </xf>
    <xf numFmtId="3" fontId="7" fillId="0" borderId="22" xfId="2" applyNumberFormat="1" applyFont="1" applyBorder="1" applyAlignment="1">
      <alignment vertical="center"/>
    </xf>
    <xf numFmtId="3" fontId="7" fillId="0" borderId="31" xfId="2" applyNumberFormat="1" applyFont="1" applyBorder="1" applyAlignment="1">
      <alignment vertical="center"/>
    </xf>
    <xf numFmtId="3" fontId="15" fillId="4" borderId="7" xfId="2" applyNumberFormat="1" applyFont="1" applyFill="1" applyBorder="1" applyAlignment="1">
      <alignment vertical="center"/>
    </xf>
    <xf numFmtId="3" fontId="15" fillId="4" borderId="17" xfId="2" applyNumberFormat="1" applyFont="1" applyFill="1" applyBorder="1" applyAlignment="1">
      <alignment vertical="center"/>
    </xf>
    <xf numFmtId="3" fontId="7" fillId="0" borderId="24" xfId="2" applyNumberFormat="1" applyFont="1" applyBorder="1" applyAlignment="1">
      <alignment vertical="center"/>
    </xf>
    <xf numFmtId="3" fontId="7" fillId="0" borderId="30" xfId="2" applyNumberFormat="1" applyFont="1" applyBorder="1" applyAlignment="1">
      <alignment vertical="center"/>
    </xf>
    <xf numFmtId="3" fontId="7" fillId="0" borderId="20" xfId="2" applyNumberFormat="1" applyFont="1" applyBorder="1" applyAlignment="1">
      <alignment vertical="center"/>
    </xf>
    <xf numFmtId="3" fontId="7" fillId="0" borderId="29" xfId="2" applyNumberFormat="1" applyFont="1" applyBorder="1" applyAlignment="1">
      <alignment vertical="center"/>
    </xf>
    <xf numFmtId="3" fontId="7" fillId="0" borderId="24" xfId="2" applyNumberFormat="1" applyFont="1" applyFill="1" applyBorder="1" applyAlignment="1">
      <alignment vertical="center"/>
    </xf>
    <xf numFmtId="3" fontId="7" fillId="0" borderId="30" xfId="2" applyNumberFormat="1" applyFont="1" applyFill="1" applyBorder="1" applyAlignment="1">
      <alignment vertical="center"/>
    </xf>
    <xf numFmtId="0" fontId="15" fillId="0" borderId="68" xfId="1" applyFont="1" applyFill="1" applyBorder="1" applyAlignment="1">
      <alignment horizontal="center" vertical="center"/>
    </xf>
    <xf numFmtId="3" fontId="7" fillId="0" borderId="68" xfId="1" applyNumberFormat="1" applyFont="1" applyFill="1" applyBorder="1" applyAlignment="1">
      <alignment vertical="center"/>
    </xf>
    <xf numFmtId="0" fontId="7" fillId="0" borderId="67" xfId="1" applyFont="1" applyFill="1" applyBorder="1" applyAlignment="1">
      <alignment horizontal="left" vertical="center"/>
    </xf>
    <xf numFmtId="0" fontId="10" fillId="0" borderId="72" xfId="4" applyNumberFormat="1" applyFont="1" applyBorder="1" applyAlignment="1">
      <alignment horizontal="center" vertical="center"/>
    </xf>
    <xf numFmtId="3" fontId="10" fillId="0" borderId="72" xfId="4" applyNumberFormat="1" applyFont="1" applyBorder="1" applyAlignment="1">
      <alignment horizontal="right" vertical="center"/>
    </xf>
    <xf numFmtId="0" fontId="10" fillId="5" borderId="73" xfId="4" applyFont="1" applyFill="1" applyBorder="1" applyAlignment="1">
      <alignment vertical="center" wrapText="1"/>
    </xf>
    <xf numFmtId="0" fontId="15" fillId="0" borderId="71" xfId="1" applyFont="1" applyFill="1" applyBorder="1" applyAlignment="1">
      <alignment horizontal="center" vertical="center"/>
    </xf>
    <xf numFmtId="0" fontId="7" fillId="0" borderId="72" xfId="1" applyFont="1" applyBorder="1" applyAlignment="1">
      <alignment horizontal="left" vertical="center" wrapText="1"/>
    </xf>
    <xf numFmtId="0" fontId="14" fillId="0" borderId="72" xfId="4" applyFont="1" applyBorder="1" applyAlignment="1">
      <alignment horizontal="center" vertical="center"/>
    </xf>
    <xf numFmtId="0" fontId="7" fillId="0" borderId="72" xfId="1" applyNumberFormat="1" applyFont="1" applyBorder="1" applyAlignment="1">
      <alignment horizontal="center" vertical="center"/>
    </xf>
    <xf numFmtId="3" fontId="7" fillId="0" borderId="72" xfId="1" applyNumberFormat="1" applyFont="1" applyBorder="1" applyAlignment="1">
      <alignment horizontal="right" vertical="center"/>
    </xf>
    <xf numFmtId="0" fontId="7" fillId="5" borderId="73" xfId="1" applyFont="1" applyFill="1" applyBorder="1" applyAlignment="1">
      <alignment horizontal="left" vertical="center" wrapText="1"/>
    </xf>
    <xf numFmtId="0" fontId="7" fillId="0" borderId="73" xfId="1" applyFont="1" applyBorder="1" applyAlignment="1">
      <alignment horizontal="left" vertical="center" wrapText="1"/>
    </xf>
    <xf numFmtId="0" fontId="15" fillId="0" borderId="74" xfId="1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/>
    </xf>
    <xf numFmtId="0" fontId="7" fillId="0" borderId="70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70" xfId="1" applyNumberFormat="1" applyFont="1" applyBorder="1" applyAlignment="1">
      <alignment horizontal="center" vertical="center"/>
    </xf>
    <xf numFmtId="3" fontId="7" fillId="0" borderId="70" xfId="1" applyNumberFormat="1" applyFont="1" applyBorder="1" applyAlignment="1">
      <alignment horizontal="right" vertical="center"/>
    </xf>
    <xf numFmtId="0" fontId="7" fillId="0" borderId="75" xfId="1" applyFont="1" applyBorder="1" applyAlignment="1">
      <alignment horizontal="left" vertical="center" wrapText="1"/>
    </xf>
    <xf numFmtId="0" fontId="7" fillId="0" borderId="26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15" fillId="7" borderId="13" xfId="1" applyFont="1" applyFill="1" applyBorder="1" applyAlignment="1">
      <alignment horizontal="center" vertical="center"/>
    </xf>
    <xf numFmtId="3" fontId="7" fillId="7" borderId="13" xfId="1" applyNumberFormat="1" applyFont="1" applyFill="1" applyBorder="1" applyAlignment="1">
      <alignment vertical="center"/>
    </xf>
    <xf numFmtId="0" fontId="7" fillId="5" borderId="7" xfId="1" applyFont="1" applyFill="1" applyBorder="1" applyAlignment="1">
      <alignment horizontal="left" vertical="center"/>
    </xf>
    <xf numFmtId="0" fontId="15" fillId="5" borderId="7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3" fontId="10" fillId="5" borderId="8" xfId="1" applyNumberFormat="1" applyFont="1" applyFill="1" applyBorder="1" applyAlignment="1">
      <alignment horizontal="left" vertical="center" wrapText="1"/>
    </xf>
    <xf numFmtId="3" fontId="10" fillId="5" borderId="42" xfId="1" applyNumberFormat="1" applyFont="1" applyFill="1" applyBorder="1" applyAlignment="1">
      <alignment horizontal="left" vertical="center" wrapText="1"/>
    </xf>
    <xf numFmtId="3" fontId="10" fillId="5" borderId="46" xfId="1" applyNumberFormat="1" applyFont="1" applyFill="1" applyBorder="1" applyAlignment="1">
      <alignment horizontal="left" vertical="center" wrapText="1"/>
    </xf>
    <xf numFmtId="3" fontId="10" fillId="5" borderId="39" xfId="1" applyNumberFormat="1" applyFont="1" applyFill="1" applyBorder="1" applyAlignment="1">
      <alignment horizontal="left" vertical="center" wrapText="1"/>
    </xf>
    <xf numFmtId="49" fontId="15" fillId="0" borderId="43" xfId="1" applyNumberFormat="1" applyFont="1" applyBorder="1" applyAlignment="1">
      <alignment horizontal="center" vertical="center"/>
    </xf>
    <xf numFmtId="0" fontId="7" fillId="0" borderId="43" xfId="1" applyNumberFormat="1" applyFont="1" applyFill="1" applyBorder="1" applyAlignment="1">
      <alignment horizontal="center" vertical="center"/>
    </xf>
    <xf numFmtId="3" fontId="7" fillId="0" borderId="43" xfId="1" applyNumberFormat="1" applyFont="1" applyFill="1" applyBorder="1" applyAlignment="1">
      <alignment horizontal="right" vertical="center"/>
    </xf>
    <xf numFmtId="0" fontId="10" fillId="0" borderId="77" xfId="1" applyFont="1" applyBorder="1" applyAlignment="1">
      <alignment vertical="center" wrapText="1"/>
    </xf>
    <xf numFmtId="0" fontId="5" fillId="0" borderId="0" xfId="1" applyFont="1"/>
    <xf numFmtId="0" fontId="7" fillId="5" borderId="76" xfId="1" applyFont="1" applyFill="1" applyBorder="1" applyAlignment="1">
      <alignment horizontal="center" vertical="center"/>
    </xf>
    <xf numFmtId="0" fontId="15" fillId="5" borderId="71" xfId="1" applyFont="1" applyFill="1" applyBorder="1" applyAlignment="1">
      <alignment horizontal="center" vertical="center"/>
    </xf>
    <xf numFmtId="0" fontId="7" fillId="5" borderId="72" xfId="1" applyFont="1" applyFill="1" applyBorder="1" applyAlignment="1">
      <alignment horizontal="left" vertical="center" wrapText="1"/>
    </xf>
    <xf numFmtId="49" fontId="15" fillId="5" borderId="72" xfId="1" applyNumberFormat="1" applyFont="1" applyFill="1" applyBorder="1" applyAlignment="1">
      <alignment horizontal="center" vertical="center"/>
    </xf>
    <xf numFmtId="3" fontId="15" fillId="5" borderId="72" xfId="1" applyNumberFormat="1" applyFont="1" applyFill="1" applyBorder="1" applyAlignment="1">
      <alignment horizontal="right" vertical="center"/>
    </xf>
    <xf numFmtId="0" fontId="7" fillId="5" borderId="72" xfId="1" applyNumberFormat="1" applyFont="1" applyFill="1" applyBorder="1" applyAlignment="1">
      <alignment horizontal="center" vertical="center"/>
    </xf>
    <xf numFmtId="3" fontId="7" fillId="0" borderId="72" xfId="1" applyNumberFormat="1" applyFont="1" applyBorder="1" applyAlignment="1">
      <alignment horizontal="right" vertical="center" wrapText="1"/>
    </xf>
    <xf numFmtId="3" fontId="10" fillId="5" borderId="73" xfId="1" applyNumberFormat="1" applyFont="1" applyFill="1" applyBorder="1" applyAlignment="1">
      <alignment horizontal="left" vertical="center" wrapText="1"/>
    </xf>
    <xf numFmtId="0" fontId="15" fillId="5" borderId="64" xfId="1" applyFont="1" applyFill="1" applyBorder="1" applyAlignment="1">
      <alignment horizontal="center" vertical="center"/>
    </xf>
    <xf numFmtId="0" fontId="7" fillId="5" borderId="65" xfId="1" applyFont="1" applyFill="1" applyBorder="1" applyAlignment="1">
      <alignment horizontal="left" vertical="center" wrapText="1"/>
    </xf>
    <xf numFmtId="49" fontId="15" fillId="5" borderId="65" xfId="1" applyNumberFormat="1" applyFont="1" applyFill="1" applyBorder="1" applyAlignment="1">
      <alignment horizontal="center" vertical="center"/>
    </xf>
    <xf numFmtId="3" fontId="15" fillId="5" borderId="65" xfId="1" applyNumberFormat="1" applyFont="1" applyFill="1" applyBorder="1" applyAlignment="1">
      <alignment horizontal="right" vertical="center"/>
    </xf>
    <xf numFmtId="0" fontId="7" fillId="5" borderId="65" xfId="1" applyNumberFormat="1" applyFont="1" applyFill="1" applyBorder="1" applyAlignment="1">
      <alignment horizontal="center" vertical="center"/>
    </xf>
    <xf numFmtId="3" fontId="7" fillId="0" borderId="65" xfId="1" applyNumberFormat="1" applyFont="1" applyBorder="1" applyAlignment="1">
      <alignment horizontal="right" vertical="center" wrapText="1"/>
    </xf>
    <xf numFmtId="3" fontId="10" fillId="5" borderId="66" xfId="1" applyNumberFormat="1" applyFont="1" applyFill="1" applyBorder="1" applyAlignment="1">
      <alignment horizontal="left" vertical="center" wrapText="1"/>
    </xf>
    <xf numFmtId="0" fontId="13" fillId="3" borderId="1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36" fillId="0" borderId="0" xfId="10" applyNumberFormat="1" applyFont="1" applyFill="1" applyBorder="1" applyAlignment="1" applyProtection="1">
      <alignment vertical="center"/>
      <protection locked="0"/>
    </xf>
    <xf numFmtId="0" fontId="36" fillId="0" borderId="0" xfId="10" applyNumberFormat="1" applyFont="1" applyFill="1" applyBorder="1" applyAlignment="1" applyProtection="1">
      <alignment horizontal="left" vertical="center"/>
      <protection locked="0"/>
    </xf>
    <xf numFmtId="0" fontId="37" fillId="0" borderId="0" xfId="1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10" applyNumberFormat="1" applyFont="1" applyFill="1" applyBorder="1" applyAlignment="1" applyProtection="1">
      <alignment horizontal="center" vertical="center"/>
      <protection locked="0"/>
    </xf>
    <xf numFmtId="0" fontId="39" fillId="0" borderId="0" xfId="10" applyNumberFormat="1" applyFont="1" applyFill="1" applyBorder="1" applyAlignment="1" applyProtection="1">
      <alignment horizontal="left" vertical="center"/>
      <protection locked="0"/>
    </xf>
    <xf numFmtId="49" fontId="40" fillId="8" borderId="78" xfId="10" applyNumberFormat="1" applyFont="1" applyFill="1" applyBorder="1" applyAlignment="1" applyProtection="1">
      <alignment horizontal="center" vertical="center" wrapText="1"/>
      <protection locked="0"/>
    </xf>
    <xf numFmtId="49" fontId="40" fillId="8" borderId="79" xfId="10" applyNumberFormat="1" applyFont="1" applyFill="1" applyBorder="1" applyAlignment="1" applyProtection="1">
      <alignment horizontal="center" vertical="center" wrapText="1"/>
      <protection locked="0"/>
    </xf>
    <xf numFmtId="49" fontId="40" fillId="8" borderId="80" xfId="10" applyNumberFormat="1" applyFont="1" applyFill="1" applyBorder="1" applyAlignment="1" applyProtection="1">
      <alignment horizontal="center" vertical="center" wrapText="1"/>
      <protection locked="0"/>
    </xf>
    <xf numFmtId="0" fontId="40" fillId="0" borderId="81" xfId="10" applyNumberFormat="1" applyFont="1" applyFill="1" applyBorder="1" applyAlignment="1" applyProtection="1">
      <alignment horizontal="center" vertical="center" wrapText="1"/>
      <protection locked="0"/>
    </xf>
    <xf numFmtId="49" fontId="40" fillId="9" borderId="78" xfId="10" applyNumberFormat="1" applyFont="1" applyFill="1" applyBorder="1" applyAlignment="1" applyProtection="1">
      <alignment horizontal="center" vertical="center" wrapText="1"/>
      <protection locked="0"/>
    </xf>
    <xf numFmtId="49" fontId="40" fillId="9" borderId="78" xfId="10" applyNumberFormat="1" applyFont="1" applyFill="1" applyBorder="1" applyAlignment="1" applyProtection="1">
      <alignment horizontal="left" vertical="center" wrapText="1"/>
      <protection locked="0"/>
    </xf>
    <xf numFmtId="3" fontId="40" fillId="2" borderId="81" xfId="10" applyNumberFormat="1" applyFont="1" applyFill="1" applyBorder="1" applyAlignment="1" applyProtection="1">
      <alignment horizontal="right" vertical="center"/>
      <protection locked="0"/>
    </xf>
    <xf numFmtId="49" fontId="41" fillId="10" borderId="78" xfId="10" applyNumberFormat="1" applyFont="1" applyFill="1" applyBorder="1" applyAlignment="1" applyProtection="1">
      <alignment horizontal="center" vertical="center" wrapText="1"/>
      <protection locked="0"/>
    </xf>
    <xf numFmtId="49" fontId="41" fillId="10" borderId="78" xfId="10" applyNumberFormat="1" applyFont="1" applyFill="1" applyBorder="1" applyAlignment="1" applyProtection="1">
      <alignment horizontal="left" vertical="center" wrapText="1"/>
      <protection locked="0"/>
    </xf>
    <xf numFmtId="3" fontId="41" fillId="11" borderId="81" xfId="10" applyNumberFormat="1" applyFont="1" applyFill="1" applyBorder="1" applyAlignment="1" applyProtection="1">
      <alignment horizontal="right" vertical="center"/>
      <protection locked="0"/>
    </xf>
    <xf numFmtId="3" fontId="40" fillId="0" borderId="81" xfId="10" applyNumberFormat="1" applyFont="1" applyFill="1" applyBorder="1" applyAlignment="1" applyProtection="1">
      <alignment horizontal="right" vertical="center"/>
      <protection locked="0"/>
    </xf>
    <xf numFmtId="3" fontId="36" fillId="0" borderId="81" xfId="10" applyNumberFormat="1" applyFont="1" applyFill="1" applyBorder="1" applyAlignment="1" applyProtection="1">
      <alignment vertical="center"/>
      <protection locked="0"/>
    </xf>
    <xf numFmtId="3" fontId="42" fillId="0" borderId="81" xfId="10" applyNumberFormat="1" applyFont="1" applyFill="1" applyBorder="1" applyAlignment="1" applyProtection="1">
      <alignment horizontal="right" vertical="center"/>
      <protection locked="0"/>
    </xf>
    <xf numFmtId="49" fontId="36" fillId="8" borderId="78" xfId="10" applyNumberFormat="1" applyFont="1" applyFill="1" applyBorder="1" applyAlignment="1" applyProtection="1">
      <alignment horizontal="left" vertical="center" wrapText="1"/>
      <protection locked="0"/>
    </xf>
    <xf numFmtId="3" fontId="36" fillId="0" borderId="81" xfId="10" applyNumberFormat="1" applyFont="1" applyFill="1" applyBorder="1" applyAlignment="1" applyProtection="1">
      <alignment horizontal="right" vertical="center"/>
      <protection locked="0"/>
    </xf>
    <xf numFmtId="49" fontId="36" fillId="0" borderId="91" xfId="10" applyNumberFormat="1" applyFont="1" applyFill="1" applyBorder="1" applyAlignment="1" applyProtection="1">
      <alignment horizontal="center" vertical="center" wrapText="1"/>
      <protection locked="0"/>
    </xf>
    <xf numFmtId="0" fontId="36" fillId="0" borderId="92" xfId="10" applyNumberFormat="1" applyFont="1" applyFill="1" applyBorder="1" applyAlignment="1" applyProtection="1">
      <alignment horizontal="center" vertical="center"/>
      <protection locked="0"/>
    </xf>
    <xf numFmtId="0" fontId="36" fillId="0" borderId="81" xfId="10" applyNumberFormat="1" applyFont="1" applyFill="1" applyBorder="1" applyAlignment="1" applyProtection="1">
      <alignment horizontal="center" vertical="center"/>
      <protection locked="0"/>
    </xf>
    <xf numFmtId="49" fontId="36" fillId="8" borderId="81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93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95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95" xfId="10" applyNumberFormat="1" applyFont="1" applyFill="1" applyBorder="1" applyAlignment="1" applyProtection="1">
      <alignment horizontal="left" vertical="center" wrapText="1"/>
      <protection locked="0"/>
    </xf>
    <xf numFmtId="3" fontId="36" fillId="0" borderId="87" xfId="10" applyNumberFormat="1" applyFont="1" applyFill="1" applyBorder="1" applyAlignment="1" applyProtection="1">
      <alignment horizontal="right" vertical="center"/>
      <protection locked="0"/>
    </xf>
    <xf numFmtId="49" fontId="36" fillId="8" borderId="93" xfId="10" applyNumberFormat="1" applyFont="1" applyFill="1" applyBorder="1" applyAlignment="1" applyProtection="1">
      <alignment horizontal="left" vertical="center" wrapText="1"/>
      <protection locked="0"/>
    </xf>
    <xf numFmtId="3" fontId="36" fillId="8" borderId="81" xfId="10" applyNumberFormat="1" applyFont="1" applyFill="1" applyBorder="1" applyAlignment="1" applyProtection="1">
      <alignment horizontal="right" vertical="center" wrapText="1"/>
      <protection locked="0"/>
    </xf>
    <xf numFmtId="3" fontId="40" fillId="0" borderId="92" xfId="10" applyNumberFormat="1" applyFont="1" applyFill="1" applyBorder="1" applyAlignment="1" applyProtection="1">
      <alignment horizontal="right" vertical="center"/>
      <protection locked="0"/>
    </xf>
    <xf numFmtId="3" fontId="7" fillId="12" borderId="0" xfId="10" applyNumberFormat="1" applyFont="1" applyFill="1" applyBorder="1" applyAlignment="1" applyProtection="1">
      <alignment horizontal="left" vertical="center"/>
      <protection locked="0"/>
    </xf>
    <xf numFmtId="0" fontId="36" fillId="13" borderId="0" xfId="10" applyNumberFormat="1" applyFont="1" applyFill="1" applyBorder="1" applyAlignment="1" applyProtection="1">
      <alignment horizontal="left" vertical="center"/>
      <protection locked="0"/>
    </xf>
    <xf numFmtId="0" fontId="10" fillId="0" borderId="99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 wrapText="1"/>
    </xf>
    <xf numFmtId="3" fontId="36" fillId="12" borderId="0" xfId="10" applyNumberFormat="1" applyFont="1" applyFill="1" applyBorder="1" applyAlignment="1" applyProtection="1">
      <alignment horizontal="left" vertical="center"/>
      <protection locked="0"/>
    </xf>
    <xf numFmtId="49" fontId="36" fillId="0" borderId="82" xfId="10" applyNumberFormat="1" applyFont="1" applyFill="1" applyBorder="1" applyAlignment="1" applyProtection="1">
      <alignment vertical="center" wrapText="1"/>
      <protection locked="0"/>
    </xf>
    <xf numFmtId="49" fontId="36" fillId="0" borderId="83" xfId="10" applyNumberFormat="1" applyFont="1" applyFill="1" applyBorder="1" applyAlignment="1" applyProtection="1">
      <alignment vertical="center" wrapText="1"/>
      <protection locked="0"/>
    </xf>
    <xf numFmtId="49" fontId="36" fillId="0" borderId="84" xfId="10" applyNumberFormat="1" applyFont="1" applyFill="1" applyBorder="1" applyAlignment="1" applyProtection="1">
      <alignment vertical="center" wrapText="1"/>
      <protection locked="0"/>
    </xf>
    <xf numFmtId="49" fontId="36" fillId="0" borderId="88" xfId="10" applyNumberFormat="1" applyFont="1" applyFill="1" applyBorder="1" applyAlignment="1" applyProtection="1">
      <alignment vertical="center" wrapText="1"/>
      <protection locked="0"/>
    </xf>
    <xf numFmtId="3" fontId="36" fillId="0" borderId="0" xfId="10" applyNumberFormat="1" applyFont="1" applyFill="1" applyBorder="1" applyAlignment="1" applyProtection="1">
      <alignment horizontal="left" vertical="center"/>
      <protection locked="0"/>
    </xf>
    <xf numFmtId="49" fontId="41" fillId="11" borderId="89" xfId="10" applyNumberFormat="1" applyFont="1" applyFill="1" applyBorder="1" applyAlignment="1" applyProtection="1">
      <alignment horizontal="center" vertical="center" wrapText="1"/>
      <protection locked="0"/>
    </xf>
    <xf numFmtId="49" fontId="36" fillId="10" borderId="78" xfId="10" applyNumberFormat="1" applyFont="1" applyFill="1" applyBorder="1" applyAlignment="1" applyProtection="1">
      <alignment horizontal="center" vertical="center" wrapText="1"/>
      <protection locked="0"/>
    </xf>
    <xf numFmtId="3" fontId="36" fillId="11" borderId="81" xfId="10" applyNumberFormat="1" applyFont="1" applyFill="1" applyBorder="1" applyAlignment="1" applyProtection="1">
      <alignment horizontal="right" vertical="center"/>
      <protection locked="0"/>
    </xf>
    <xf numFmtId="49" fontId="10" fillId="0" borderId="78" xfId="0" applyNumberFormat="1" applyFont="1" applyBorder="1" applyAlignment="1">
      <alignment horizontal="left" vertical="center" wrapText="1"/>
    </xf>
    <xf numFmtId="49" fontId="36" fillId="0" borderId="78" xfId="10" applyNumberFormat="1" applyFont="1" applyFill="1" applyBorder="1" applyAlignment="1" applyProtection="1">
      <alignment horizontal="center" vertical="center" wrapText="1"/>
      <protection locked="0"/>
    </xf>
    <xf numFmtId="0" fontId="10" fillId="0" borderId="78" xfId="0" applyFont="1" applyBorder="1" applyAlignment="1">
      <alignment vertical="center" wrapText="1"/>
    </xf>
    <xf numFmtId="3" fontId="36" fillId="13" borderId="0" xfId="10" applyNumberFormat="1" applyFont="1" applyFill="1" applyBorder="1" applyAlignment="1" applyProtection="1">
      <alignment horizontal="left" vertical="center"/>
      <protection locked="0"/>
    </xf>
    <xf numFmtId="3" fontId="40" fillId="11" borderId="81" xfId="10" applyNumberFormat="1" applyFont="1" applyFill="1" applyBorder="1" applyAlignment="1" applyProtection="1">
      <alignment horizontal="right" vertical="center"/>
      <protection locked="0"/>
    </xf>
    <xf numFmtId="3" fontId="36" fillId="0" borderId="92" xfId="10" applyNumberFormat="1" applyFont="1" applyFill="1" applyBorder="1" applyAlignment="1" applyProtection="1">
      <alignment horizontal="right" vertical="center"/>
      <protection locked="0"/>
    </xf>
    <xf numFmtId="49" fontId="41" fillId="10" borderId="81" xfId="10" applyNumberFormat="1" applyFont="1" applyFill="1" applyBorder="1" applyAlignment="1" applyProtection="1">
      <alignment horizontal="center" vertical="center" wrapText="1"/>
      <protection locked="0"/>
    </xf>
    <xf numFmtId="49" fontId="36" fillId="10" borderId="81" xfId="10" applyNumberFormat="1" applyFont="1" applyFill="1" applyBorder="1" applyAlignment="1" applyProtection="1">
      <alignment horizontal="center" vertical="center" wrapText="1"/>
      <protection locked="0"/>
    </xf>
    <xf numFmtId="49" fontId="41" fillId="10" borderId="81" xfId="10" applyNumberFormat="1" applyFont="1" applyFill="1" applyBorder="1" applyAlignment="1" applyProtection="1">
      <alignment horizontal="left" vertical="center" wrapText="1"/>
      <protection locked="0"/>
    </xf>
    <xf numFmtId="3" fontId="40" fillId="11" borderId="87" xfId="10" applyNumberFormat="1" applyFont="1" applyFill="1" applyBorder="1" applyAlignment="1" applyProtection="1">
      <alignment horizontal="right" vertical="center"/>
      <protection locked="0"/>
    </xf>
    <xf numFmtId="49" fontId="40" fillId="16" borderId="81" xfId="10" applyNumberFormat="1" applyFont="1" applyFill="1" applyBorder="1" applyAlignment="1" applyProtection="1">
      <alignment horizontal="center" vertical="center" wrapText="1"/>
      <protection locked="0"/>
    </xf>
    <xf numFmtId="49" fontId="36" fillId="16" borderId="81" xfId="10" applyNumberFormat="1" applyFont="1" applyFill="1" applyBorder="1" applyAlignment="1" applyProtection="1">
      <alignment horizontal="center" vertical="center" wrapText="1"/>
      <protection locked="0"/>
    </xf>
    <xf numFmtId="49" fontId="41" fillId="16" borderId="81" xfId="10" applyNumberFormat="1" applyFont="1" applyFill="1" applyBorder="1" applyAlignment="1" applyProtection="1">
      <alignment horizontal="left" vertical="center" wrapText="1"/>
      <protection locked="0"/>
    </xf>
    <xf numFmtId="3" fontId="36" fillId="17" borderId="81" xfId="10" applyNumberFormat="1" applyFont="1" applyFill="1" applyBorder="1" applyAlignment="1" applyProtection="1">
      <alignment horizontal="right" vertical="center"/>
      <protection locked="0"/>
    </xf>
    <xf numFmtId="3" fontId="36" fillId="5" borderId="92" xfId="10" applyNumberFormat="1" applyFont="1" applyFill="1" applyBorder="1" applyAlignment="1" applyProtection="1">
      <alignment horizontal="right" vertical="center"/>
      <protection locked="0"/>
    </xf>
    <xf numFmtId="49" fontId="36" fillId="14" borderId="93" xfId="10" applyNumberFormat="1" applyFont="1" applyFill="1" applyBorder="1" applyAlignment="1" applyProtection="1">
      <alignment horizontal="center" vertical="center" wrapText="1"/>
      <protection locked="0"/>
    </xf>
    <xf numFmtId="49" fontId="36" fillId="14" borderId="93" xfId="10" applyNumberFormat="1" applyFont="1" applyFill="1" applyBorder="1" applyAlignment="1" applyProtection="1">
      <alignment horizontal="left" vertical="center" wrapText="1"/>
      <protection locked="0"/>
    </xf>
    <xf numFmtId="3" fontId="41" fillId="5" borderId="81" xfId="10" applyNumberFormat="1" applyFont="1" applyFill="1" applyBorder="1" applyAlignment="1" applyProtection="1">
      <alignment horizontal="right" vertical="center"/>
      <protection locked="0"/>
    </xf>
    <xf numFmtId="49" fontId="36" fillId="14" borderId="78" xfId="10" applyNumberFormat="1" applyFont="1" applyFill="1" applyBorder="1" applyAlignment="1" applyProtection="1">
      <alignment horizontal="center" vertical="center" wrapText="1"/>
      <protection locked="0"/>
    </xf>
    <xf numFmtId="49" fontId="36" fillId="14" borderId="78" xfId="10" applyNumberFormat="1" applyFont="1" applyFill="1" applyBorder="1" applyAlignment="1" applyProtection="1">
      <alignment horizontal="left" vertical="center" wrapText="1"/>
      <protection locked="0"/>
    </xf>
    <xf numFmtId="3" fontId="36" fillId="0" borderId="0" xfId="10" applyNumberFormat="1" applyFont="1" applyFill="1" applyBorder="1" applyAlignment="1" applyProtection="1">
      <alignment horizontal="right" vertical="center"/>
      <protection locked="0"/>
    </xf>
    <xf numFmtId="3" fontId="36" fillId="5" borderId="81" xfId="10" applyNumberFormat="1" applyFont="1" applyFill="1" applyBorder="1" applyAlignment="1" applyProtection="1">
      <alignment horizontal="right" vertical="center"/>
      <protection locked="0"/>
    </xf>
    <xf numFmtId="3" fontId="36" fillId="0" borderId="105" xfId="10" applyNumberFormat="1" applyFont="1" applyFill="1" applyBorder="1" applyAlignment="1" applyProtection="1">
      <alignment horizontal="right" vertical="center"/>
      <protection locked="0"/>
    </xf>
    <xf numFmtId="3" fontId="36" fillId="0" borderId="99" xfId="10" applyNumberFormat="1" applyFont="1" applyFill="1" applyBorder="1" applyAlignment="1" applyProtection="1">
      <alignment horizontal="right" vertical="center"/>
      <protection locked="0"/>
    </xf>
    <xf numFmtId="0" fontId="10" fillId="0" borderId="99" xfId="0" applyFont="1" applyBorder="1" applyAlignment="1">
      <alignment vertical="center" wrapText="1"/>
    </xf>
    <xf numFmtId="49" fontId="41" fillId="10" borderId="96" xfId="10" applyNumberFormat="1" applyFont="1" applyFill="1" applyBorder="1" applyAlignment="1" applyProtection="1">
      <alignment horizontal="center" vertical="center" wrapText="1"/>
      <protection locked="0"/>
    </xf>
    <xf numFmtId="49" fontId="41" fillId="10" borderId="97" xfId="10" applyNumberFormat="1" applyFont="1" applyFill="1" applyBorder="1" applyAlignment="1" applyProtection="1">
      <alignment horizontal="center" vertical="center" wrapText="1"/>
      <protection locked="0"/>
    </xf>
    <xf numFmtId="49" fontId="41" fillId="10" borderId="97" xfId="10" applyNumberFormat="1" applyFont="1" applyFill="1" applyBorder="1" applyAlignment="1" applyProtection="1">
      <alignment horizontal="left" vertical="center" wrapText="1"/>
      <protection locked="0"/>
    </xf>
    <xf numFmtId="49" fontId="42" fillId="8" borderId="79" xfId="10" applyNumberFormat="1" applyFont="1" applyFill="1" applyBorder="1" applyAlignment="1" applyProtection="1">
      <alignment horizontal="center" vertical="center" wrapText="1"/>
      <protection locked="0"/>
    </xf>
    <xf numFmtId="3" fontId="36" fillId="0" borderId="106" xfId="10" applyNumberFormat="1" applyFont="1" applyFill="1" applyBorder="1" applyAlignment="1" applyProtection="1">
      <alignment horizontal="right" vertical="center"/>
      <protection locked="0"/>
    </xf>
    <xf numFmtId="3" fontId="40" fillId="0" borderId="81" xfId="10" applyNumberFormat="1" applyFont="1" applyFill="1" applyBorder="1" applyAlignment="1" applyProtection="1">
      <alignment vertical="center"/>
      <protection locked="0"/>
    </xf>
    <xf numFmtId="3" fontId="41" fillId="11" borderId="81" xfId="10" applyNumberFormat="1" applyFont="1" applyFill="1" applyBorder="1" applyAlignment="1" applyProtection="1">
      <alignment vertical="center"/>
      <protection locked="0"/>
    </xf>
    <xf numFmtId="3" fontId="41" fillId="0" borderId="81" xfId="10" applyNumberFormat="1" applyFont="1" applyFill="1" applyBorder="1" applyAlignment="1" applyProtection="1">
      <alignment vertical="center"/>
      <protection locked="0"/>
    </xf>
    <xf numFmtId="49" fontId="41" fillId="11" borderId="78" xfId="10" applyNumberFormat="1" applyFont="1" applyFill="1" applyBorder="1" applyAlignment="1" applyProtection="1">
      <alignment horizontal="center" vertical="center" wrapText="1"/>
      <protection locked="0"/>
    </xf>
    <xf numFmtId="49" fontId="41" fillId="11" borderId="78" xfId="10" applyNumberFormat="1" applyFont="1" applyFill="1" applyBorder="1" applyAlignment="1" applyProtection="1">
      <alignment horizontal="left" vertical="center" wrapText="1"/>
      <protection locked="0"/>
    </xf>
    <xf numFmtId="49" fontId="36" fillId="0" borderId="81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90" xfId="10" applyNumberFormat="1" applyFont="1" applyFill="1" applyBorder="1" applyAlignment="1" applyProtection="1">
      <alignment horizontal="left" vertical="center" wrapText="1"/>
      <protection locked="0"/>
    </xf>
    <xf numFmtId="49" fontId="36" fillId="8" borderId="108" xfId="10" applyNumberFormat="1" applyFont="1" applyFill="1" applyBorder="1" applyAlignment="1" applyProtection="1">
      <alignment horizontal="center" vertical="center" wrapText="1"/>
      <protection locked="0"/>
    </xf>
    <xf numFmtId="49" fontId="40" fillId="9" borderId="95" xfId="10" applyNumberFormat="1" applyFont="1" applyFill="1" applyBorder="1" applyAlignment="1" applyProtection="1">
      <alignment horizontal="center" vertical="center" wrapText="1"/>
      <protection locked="0"/>
    </xf>
    <xf numFmtId="49" fontId="40" fillId="0" borderId="79" xfId="10" applyNumberFormat="1" applyFont="1" applyFill="1" applyBorder="1" applyAlignment="1" applyProtection="1">
      <alignment horizontal="center" vertical="center" wrapText="1"/>
      <protection locked="0"/>
    </xf>
    <xf numFmtId="49" fontId="40" fillId="11" borderId="80" xfId="10" applyNumberFormat="1" applyFont="1" applyFill="1" applyBorder="1" applyAlignment="1" applyProtection="1">
      <alignment horizontal="center" vertical="center" wrapText="1"/>
      <protection locked="0"/>
    </xf>
    <xf numFmtId="49" fontId="40" fillId="11" borderId="78" xfId="10" applyNumberFormat="1" applyFont="1" applyFill="1" applyBorder="1" applyAlignment="1" applyProtection="1">
      <alignment horizontal="center" vertical="center" wrapText="1"/>
      <protection locked="0"/>
    </xf>
    <xf numFmtId="49" fontId="40" fillId="11" borderId="78" xfId="10" applyNumberFormat="1" applyFont="1" applyFill="1" applyBorder="1" applyAlignment="1" applyProtection="1">
      <alignment horizontal="left" vertical="center" wrapText="1"/>
      <protection locked="0"/>
    </xf>
    <xf numFmtId="3" fontId="36" fillId="0" borderId="108" xfId="10" applyNumberFormat="1" applyFont="1" applyFill="1" applyBorder="1" applyAlignment="1" applyProtection="1">
      <alignment horizontal="right" vertical="center"/>
      <protection locked="0"/>
    </xf>
    <xf numFmtId="49" fontId="36" fillId="0" borderId="117" xfId="10" applyNumberFormat="1" applyFont="1" applyFill="1" applyBorder="1" applyAlignment="1" applyProtection="1">
      <alignment horizontal="center" vertical="center" wrapText="1"/>
      <protection locked="0"/>
    </xf>
    <xf numFmtId="3" fontId="36" fillId="0" borderId="92" xfId="10" applyNumberFormat="1" applyFont="1" applyFill="1" applyBorder="1" applyAlignment="1" applyProtection="1">
      <alignment vertical="center"/>
      <protection locked="0"/>
    </xf>
    <xf numFmtId="49" fontId="36" fillId="8" borderId="97" xfId="10" applyNumberFormat="1" applyFont="1" applyFill="1" applyBorder="1" applyAlignment="1" applyProtection="1">
      <alignment horizontal="left" vertical="center" wrapText="1"/>
      <protection locked="0"/>
    </xf>
    <xf numFmtId="49" fontId="41" fillId="10" borderId="93" xfId="10" applyNumberFormat="1" applyFont="1" applyFill="1" applyBorder="1" applyAlignment="1" applyProtection="1">
      <alignment horizontal="center" vertical="center" wrapText="1"/>
      <protection locked="0"/>
    </xf>
    <xf numFmtId="49" fontId="41" fillId="10" borderId="93" xfId="10" applyNumberFormat="1" applyFont="1" applyFill="1" applyBorder="1" applyAlignment="1" applyProtection="1">
      <alignment horizontal="left" vertical="center" wrapText="1"/>
      <protection locked="0"/>
    </xf>
    <xf numFmtId="3" fontId="41" fillId="11" borderId="92" xfId="10" applyNumberFormat="1" applyFont="1" applyFill="1" applyBorder="1" applyAlignment="1" applyProtection="1">
      <alignment horizontal="right" vertical="center"/>
      <protection locked="0"/>
    </xf>
    <xf numFmtId="3" fontId="36" fillId="8" borderId="99" xfId="10" applyNumberFormat="1" applyFont="1" applyFill="1" applyBorder="1" applyAlignment="1" applyProtection="1">
      <alignment horizontal="right" vertical="center" wrapText="1"/>
      <protection locked="0"/>
    </xf>
    <xf numFmtId="49" fontId="40" fillId="18" borderId="79" xfId="10" applyNumberFormat="1" applyFont="1" applyFill="1" applyBorder="1" applyAlignment="1" applyProtection="1">
      <alignment horizontal="center" vertical="center" wrapText="1"/>
      <protection locked="0"/>
    </xf>
    <xf numFmtId="49" fontId="40" fillId="14" borderId="79" xfId="10" applyNumberFormat="1" applyFont="1" applyFill="1" applyBorder="1" applyAlignment="1" applyProtection="1">
      <alignment horizontal="center" vertical="center" wrapText="1"/>
      <protection locked="0"/>
    </xf>
    <xf numFmtId="49" fontId="36" fillId="0" borderId="89" xfId="10" applyNumberFormat="1" applyFont="1" applyFill="1" applyBorder="1" applyAlignment="1" applyProtection="1">
      <alignment vertical="center" wrapText="1"/>
      <protection locked="0"/>
    </xf>
    <xf numFmtId="3" fontId="41" fillId="0" borderId="81" xfId="10" applyNumberFormat="1" applyFont="1" applyFill="1" applyBorder="1" applyAlignment="1" applyProtection="1">
      <alignment horizontal="right" vertical="center"/>
      <protection locked="0"/>
    </xf>
    <xf numFmtId="49" fontId="41" fillId="10" borderId="81" xfId="10" applyNumberFormat="1" applyFont="1" applyFill="1" applyBorder="1" applyAlignment="1" applyProtection="1">
      <alignment vertical="center" wrapText="1"/>
      <protection locked="0"/>
    </xf>
    <xf numFmtId="49" fontId="40" fillId="10" borderId="80" xfId="10" applyNumberFormat="1" applyFont="1" applyFill="1" applyBorder="1" applyAlignment="1" applyProtection="1">
      <alignment horizontal="left" vertical="center" wrapText="1"/>
      <protection locked="0"/>
    </xf>
    <xf numFmtId="49" fontId="40" fillId="11" borderId="89" xfId="10" applyNumberFormat="1" applyFont="1" applyFill="1" applyBorder="1" applyAlignment="1" applyProtection="1">
      <alignment horizontal="center" vertical="center" wrapText="1"/>
      <protection locked="0"/>
    </xf>
    <xf numFmtId="49" fontId="40" fillId="10" borderId="78" xfId="10" applyNumberFormat="1" applyFont="1" applyFill="1" applyBorder="1" applyAlignment="1" applyProtection="1">
      <alignment horizontal="center" vertical="center" wrapText="1"/>
      <protection locked="0"/>
    </xf>
    <xf numFmtId="49" fontId="40" fillId="10" borderId="78" xfId="10" applyNumberFormat="1" applyFont="1" applyFill="1" applyBorder="1" applyAlignment="1" applyProtection="1">
      <alignment horizontal="left" vertical="center" wrapText="1"/>
      <protection locked="0"/>
    </xf>
    <xf numFmtId="49" fontId="36" fillId="14" borderId="80" xfId="10" applyNumberFormat="1" applyFont="1" applyFill="1" applyBorder="1" applyAlignment="1" applyProtection="1">
      <alignment horizontal="left" vertical="center" wrapText="1"/>
      <protection locked="0"/>
    </xf>
    <xf numFmtId="49" fontId="41" fillId="16" borderId="80" xfId="10" applyNumberFormat="1" applyFont="1" applyFill="1" applyBorder="1" applyAlignment="1" applyProtection="1">
      <alignment horizontal="center" vertical="center" wrapText="1"/>
      <protection locked="0"/>
    </xf>
    <xf numFmtId="49" fontId="36" fillId="16" borderId="78" xfId="10" applyNumberFormat="1" applyFont="1" applyFill="1" applyBorder="1" applyAlignment="1" applyProtection="1">
      <alignment horizontal="center" vertical="center" wrapText="1"/>
      <protection locked="0"/>
    </xf>
    <xf numFmtId="49" fontId="41" fillId="16" borderId="78" xfId="10" applyNumberFormat="1" applyFont="1" applyFill="1" applyBorder="1" applyAlignment="1" applyProtection="1">
      <alignment horizontal="left" vertical="center" wrapText="1"/>
      <protection locked="0"/>
    </xf>
    <xf numFmtId="3" fontId="40" fillId="17" borderId="81" xfId="10" applyNumberFormat="1" applyFont="1" applyFill="1" applyBorder="1" applyAlignment="1" applyProtection="1">
      <alignment horizontal="right" vertical="center"/>
      <protection locked="0"/>
    </xf>
    <xf numFmtId="3" fontId="40" fillId="5" borderId="81" xfId="10" applyNumberFormat="1" applyFont="1" applyFill="1" applyBorder="1" applyAlignment="1" applyProtection="1">
      <alignment horizontal="right" vertical="center"/>
      <protection locked="0"/>
    </xf>
    <xf numFmtId="49" fontId="36" fillId="8" borderId="111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87" xfId="10" applyNumberFormat="1" applyFont="1" applyFill="1" applyBorder="1" applyAlignment="1" applyProtection="1">
      <alignment horizontal="left" vertical="center" wrapText="1"/>
      <protection locked="0"/>
    </xf>
    <xf numFmtId="49" fontId="40" fillId="17" borderId="81" xfId="10" applyNumberFormat="1" applyFont="1" applyFill="1" applyBorder="1" applyAlignment="1" applyProtection="1">
      <alignment horizontal="center" vertical="center" wrapText="1"/>
      <protection locked="0"/>
    </xf>
    <xf numFmtId="49" fontId="40" fillId="16" borderId="81" xfId="10" applyNumberFormat="1" applyFont="1" applyFill="1" applyBorder="1" applyAlignment="1" applyProtection="1">
      <alignment horizontal="left" vertical="center" wrapText="1"/>
      <protection locked="0"/>
    </xf>
    <xf numFmtId="49" fontId="36" fillId="8" borderId="107" xfId="10" applyNumberFormat="1" applyFont="1" applyFill="1" applyBorder="1" applyAlignment="1" applyProtection="1">
      <alignment horizontal="left" vertical="center" wrapText="1"/>
      <protection locked="0"/>
    </xf>
    <xf numFmtId="49" fontId="10" fillId="14" borderId="78" xfId="10" applyNumberFormat="1" applyFont="1" applyFill="1" applyBorder="1" applyAlignment="1" applyProtection="1">
      <alignment horizontal="center" vertical="center" wrapText="1"/>
      <protection locked="0"/>
    </xf>
    <xf numFmtId="3" fontId="36" fillId="0" borderId="87" xfId="10" applyNumberFormat="1" applyFont="1" applyFill="1" applyBorder="1" applyAlignment="1" applyProtection="1">
      <alignment vertical="center"/>
      <protection locked="0"/>
    </xf>
    <xf numFmtId="49" fontId="40" fillId="19" borderId="78" xfId="10" applyNumberFormat="1" applyFont="1" applyFill="1" applyBorder="1" applyAlignment="1" applyProtection="1">
      <alignment horizontal="center" vertical="center" wrapText="1"/>
      <protection locked="0"/>
    </xf>
    <xf numFmtId="49" fontId="40" fillId="19" borderId="78" xfId="10" applyNumberFormat="1" applyFont="1" applyFill="1" applyBorder="1" applyAlignment="1" applyProtection="1">
      <alignment horizontal="left" vertical="center" wrapText="1"/>
      <protection locked="0"/>
    </xf>
    <xf numFmtId="3" fontId="40" fillId="3" borderId="81" xfId="10" applyNumberFormat="1" applyFont="1" applyFill="1" applyBorder="1" applyAlignment="1" applyProtection="1">
      <alignment horizontal="right" vertical="center"/>
      <protection locked="0"/>
    </xf>
    <xf numFmtId="49" fontId="36" fillId="0" borderId="78" xfId="10" applyNumberFormat="1" applyFont="1" applyFill="1" applyBorder="1" applyAlignment="1" applyProtection="1">
      <alignment horizontal="left" vertical="center" wrapText="1"/>
      <protection locked="0"/>
    </xf>
    <xf numFmtId="49" fontId="36" fillId="8" borderId="0" xfId="10" applyNumberFormat="1" applyFont="1" applyFill="1" applyBorder="1" applyAlignment="1" applyProtection="1">
      <alignment vertical="center" wrapText="1"/>
      <protection locked="0"/>
    </xf>
    <xf numFmtId="49" fontId="36" fillId="8" borderId="113" xfId="10" applyNumberFormat="1" applyFont="1" applyFill="1" applyBorder="1" applyAlignment="1" applyProtection="1">
      <alignment vertical="center" wrapText="1"/>
      <protection locked="0"/>
    </xf>
    <xf numFmtId="49" fontId="36" fillId="8" borderId="1" xfId="10" applyNumberFormat="1" applyFont="1" applyFill="1" applyBorder="1" applyAlignment="1" applyProtection="1">
      <alignment vertical="center" wrapText="1"/>
      <protection locked="0"/>
    </xf>
    <xf numFmtId="49" fontId="10" fillId="0" borderId="78" xfId="0" applyNumberFormat="1" applyFont="1" applyBorder="1" applyAlignment="1">
      <alignment vertical="center" wrapText="1"/>
    </xf>
    <xf numFmtId="49" fontId="41" fillId="10" borderId="80" xfId="10" applyNumberFormat="1" applyFont="1" applyFill="1" applyBorder="1" applyAlignment="1" applyProtection="1">
      <alignment horizontal="left" vertical="center" wrapText="1"/>
      <protection locked="0"/>
    </xf>
    <xf numFmtId="49" fontId="40" fillId="19" borderId="81" xfId="10" applyNumberFormat="1" applyFont="1" applyFill="1" applyBorder="1" applyAlignment="1" applyProtection="1">
      <alignment vertical="top" wrapText="1"/>
      <protection locked="0"/>
    </xf>
    <xf numFmtId="3" fontId="41" fillId="10" borderId="81" xfId="10" applyNumberFormat="1" applyFont="1" applyFill="1" applyBorder="1" applyAlignment="1" applyProtection="1">
      <alignment horizontal="right" vertical="center" wrapText="1"/>
      <protection locked="0"/>
    </xf>
    <xf numFmtId="49" fontId="45" fillId="8" borderId="0" xfId="10" applyNumberFormat="1" applyFont="1" applyFill="1" applyBorder="1" applyAlignment="1" applyProtection="1">
      <alignment vertical="top" wrapText="1"/>
      <protection locked="0"/>
    </xf>
    <xf numFmtId="3" fontId="45" fillId="8" borderId="0" xfId="10" applyNumberFormat="1" applyFont="1" applyFill="1" applyBorder="1" applyAlignment="1" applyProtection="1">
      <alignment vertical="top" wrapText="1"/>
      <protection locked="0"/>
    </xf>
    <xf numFmtId="49" fontId="36" fillId="8" borderId="87" xfId="10" applyNumberFormat="1" applyFont="1" applyFill="1" applyBorder="1" applyAlignment="1" applyProtection="1">
      <alignment horizontal="center" vertical="center" wrapText="1"/>
      <protection locked="0"/>
    </xf>
    <xf numFmtId="49" fontId="41" fillId="10" borderId="102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0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80" xfId="10" applyNumberFormat="1" applyFont="1" applyFill="1" applyBorder="1" applyAlignment="1" applyProtection="1">
      <alignment horizontal="left" vertical="center" wrapText="1"/>
      <protection locked="0"/>
    </xf>
    <xf numFmtId="49" fontId="36" fillId="8" borderId="84" xfId="10" applyNumberFormat="1" applyFont="1" applyFill="1" applyBorder="1" applyAlignment="1" applyProtection="1">
      <alignment horizontal="center" vertical="center" wrapText="1"/>
      <protection locked="0"/>
    </xf>
    <xf numFmtId="49" fontId="41" fillId="10" borderId="79" xfId="10" applyNumberFormat="1" applyFont="1" applyFill="1" applyBorder="1" applyAlignment="1" applyProtection="1">
      <alignment horizontal="center" vertical="center" wrapText="1"/>
      <protection locked="0"/>
    </xf>
    <xf numFmtId="49" fontId="41" fillId="10" borderId="80" xfId="10" applyNumberFormat="1" applyFont="1" applyFill="1" applyBorder="1" applyAlignment="1" applyProtection="1">
      <alignment horizontal="center" vertical="center" wrapText="1"/>
      <protection locked="0"/>
    </xf>
    <xf numFmtId="49" fontId="36" fillId="14" borderId="84" xfId="10" applyNumberFormat="1" applyFont="1" applyFill="1" applyBorder="1" applyAlignment="1" applyProtection="1">
      <alignment horizontal="center" vertical="center" wrapText="1"/>
      <protection locked="0"/>
    </xf>
    <xf numFmtId="49" fontId="36" fillId="0" borderId="80" xfId="10" applyNumberFormat="1" applyFont="1" applyFill="1" applyBorder="1" applyAlignment="1" applyProtection="1">
      <alignment horizontal="left" vertical="center" wrapText="1"/>
      <protection locked="0"/>
    </xf>
    <xf numFmtId="49" fontId="36" fillId="8" borderId="88" xfId="10" applyNumberFormat="1" applyFont="1" applyFill="1" applyBorder="1" applyAlignment="1" applyProtection="1">
      <alignment horizontal="center" vertical="center" wrapText="1"/>
      <protection locked="0"/>
    </xf>
    <xf numFmtId="49" fontId="36" fillId="0" borderId="84" xfId="10" applyNumberFormat="1" applyFont="1" applyFill="1" applyBorder="1" applyAlignment="1" applyProtection="1">
      <alignment horizontal="center" vertical="center" wrapText="1"/>
      <protection locked="0"/>
    </xf>
    <xf numFmtId="49" fontId="36" fillId="0" borderId="88" xfId="10" applyNumberFormat="1" applyFont="1" applyFill="1" applyBorder="1" applyAlignment="1" applyProtection="1">
      <alignment horizontal="center" vertical="center" wrapText="1"/>
      <protection locked="0"/>
    </xf>
    <xf numFmtId="0" fontId="36" fillId="0" borderId="84" xfId="10" applyNumberFormat="1" applyFont="1" applyFill="1" applyBorder="1" applyAlignment="1" applyProtection="1">
      <alignment horizontal="left" vertical="center"/>
      <protection locked="0"/>
    </xf>
    <xf numFmtId="49" fontId="41" fillId="10" borderId="89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78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79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80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94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81" xfId="10" applyNumberFormat="1" applyFont="1" applyFill="1" applyBorder="1" applyAlignment="1" applyProtection="1">
      <alignment horizontal="left" vertical="center" wrapText="1"/>
      <protection locked="0"/>
    </xf>
    <xf numFmtId="49" fontId="36" fillId="8" borderId="83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92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96" xfId="1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47" fillId="0" borderId="0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15" fillId="3" borderId="7" xfId="1" applyFont="1" applyFill="1" applyBorder="1" applyAlignment="1">
      <alignment horizontal="center" vertical="center" wrapText="1"/>
    </xf>
    <xf numFmtId="0" fontId="15" fillId="3" borderId="17" xfId="1" applyFont="1" applyFill="1" applyBorder="1" applyAlignment="1">
      <alignment horizontal="center" vertical="center" wrapText="1"/>
    </xf>
    <xf numFmtId="0" fontId="15" fillId="3" borderId="14" xfId="1" applyFont="1" applyFill="1" applyBorder="1" applyAlignment="1">
      <alignment horizontal="center" vertical="center" wrapText="1"/>
    </xf>
    <xf numFmtId="0" fontId="15" fillId="4" borderId="7" xfId="1" quotePrefix="1" applyFont="1" applyFill="1" applyBorder="1" applyAlignment="1">
      <alignment horizontal="center" vertical="center" wrapText="1"/>
    </xf>
    <xf numFmtId="0" fontId="15" fillId="4" borderId="18" xfId="1" applyFont="1" applyFill="1" applyBorder="1" applyAlignment="1">
      <alignment vertical="center" wrapText="1"/>
    </xf>
    <xf numFmtId="0" fontId="15" fillId="4" borderId="14" xfId="1" applyFont="1" applyFill="1" applyBorder="1" applyAlignment="1">
      <alignment vertical="center" wrapText="1"/>
    </xf>
    <xf numFmtId="3" fontId="15" fillId="4" borderId="7" xfId="1" applyNumberFormat="1" applyFont="1" applyFill="1" applyBorder="1" applyAlignment="1">
      <alignment vertical="center" wrapText="1"/>
    </xf>
    <xf numFmtId="49" fontId="9" fillId="21" borderId="7" xfId="1" applyNumberFormat="1" applyFont="1" applyFill="1" applyBorder="1" applyAlignment="1">
      <alignment horizontal="center" vertical="center" wrapText="1"/>
    </xf>
    <xf numFmtId="0" fontId="9" fillId="21" borderId="17" xfId="1" applyFont="1" applyFill="1" applyBorder="1" applyAlignment="1">
      <alignment vertical="center" wrapText="1"/>
    </xf>
    <xf numFmtId="0" fontId="9" fillId="21" borderId="14" xfId="1" applyFont="1" applyFill="1" applyBorder="1" applyAlignment="1">
      <alignment vertical="center" wrapText="1"/>
    </xf>
    <xf numFmtId="3" fontId="9" fillId="21" borderId="7" xfId="1" applyNumberFormat="1" applyFont="1" applyFill="1" applyBorder="1" applyAlignment="1">
      <alignment vertical="center" wrapText="1"/>
    </xf>
    <xf numFmtId="0" fontId="8" fillId="22" borderId="125" xfId="1" applyFont="1" applyFill="1" applyBorder="1" applyAlignment="1">
      <alignment vertical="center" wrapText="1"/>
    </xf>
    <xf numFmtId="3" fontId="8" fillId="22" borderId="13" xfId="1" applyNumberFormat="1" applyFont="1" applyFill="1" applyBorder="1" applyAlignment="1">
      <alignment vertical="center" wrapText="1"/>
    </xf>
    <xf numFmtId="0" fontId="15" fillId="0" borderId="23" xfId="1" quotePrefix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49" fontId="7" fillId="0" borderId="25" xfId="1" applyNumberFormat="1" applyFont="1" applyFill="1" applyBorder="1" applyAlignment="1">
      <alignment horizontal="center" vertical="center" wrapText="1"/>
    </xf>
    <xf numFmtId="3" fontId="7" fillId="0" borderId="24" xfId="1" applyNumberFormat="1" applyFont="1" applyFill="1" applyBorder="1" applyAlignment="1">
      <alignment vertical="center" wrapText="1"/>
    </xf>
    <xf numFmtId="0" fontId="8" fillId="22" borderId="127" xfId="1" applyFont="1" applyFill="1" applyBorder="1" applyAlignment="1">
      <alignment vertical="center" wrapText="1"/>
    </xf>
    <xf numFmtId="3" fontId="8" fillId="22" borderId="12" xfId="1" applyNumberFormat="1" applyFont="1" applyFill="1" applyBorder="1" applyAlignment="1">
      <alignment vertical="center" wrapText="1"/>
    </xf>
    <xf numFmtId="0" fontId="49" fillId="21" borderId="26" xfId="1" quotePrefix="1" applyFont="1" applyFill="1" applyBorder="1" applyAlignment="1">
      <alignment horizontal="center" vertical="center" wrapText="1"/>
    </xf>
    <xf numFmtId="0" fontId="49" fillId="21" borderId="17" xfId="1" applyFont="1" applyFill="1" applyBorder="1" applyAlignment="1">
      <alignment vertical="center" wrapText="1"/>
    </xf>
    <xf numFmtId="0" fontId="49" fillId="21" borderId="16" xfId="1" applyFont="1" applyFill="1" applyBorder="1" applyAlignment="1">
      <alignment vertical="center" wrapText="1"/>
    </xf>
    <xf numFmtId="3" fontId="49" fillId="21" borderId="26" xfId="1" applyNumberFormat="1" applyFont="1" applyFill="1" applyBorder="1" applyAlignment="1">
      <alignment vertical="center" wrapText="1"/>
    </xf>
    <xf numFmtId="0" fontId="8" fillId="22" borderId="125" xfId="1" quotePrefix="1" applyFont="1" applyFill="1" applyBorder="1" applyAlignment="1">
      <alignment horizontal="left" vertical="center" wrapText="1"/>
    </xf>
    <xf numFmtId="0" fontId="7" fillId="0" borderId="23" xfId="1" quotePrefix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3" fontId="47" fillId="0" borderId="23" xfId="1" applyNumberFormat="1" applyFont="1" applyBorder="1" applyAlignment="1">
      <alignment vertical="center" wrapText="1"/>
    </xf>
    <xf numFmtId="0" fontId="8" fillId="22" borderId="127" xfId="1" quotePrefix="1" applyFont="1" applyFill="1" applyBorder="1" applyAlignment="1">
      <alignment horizontal="left" vertical="center" wrapText="1"/>
    </xf>
    <xf numFmtId="0" fontId="49" fillId="21" borderId="7" xfId="1" quotePrefix="1" applyFont="1" applyFill="1" applyBorder="1" applyAlignment="1">
      <alignment horizontal="center" vertical="center" wrapText="1"/>
    </xf>
    <xf numFmtId="0" fontId="49" fillId="21" borderId="18" xfId="1" applyFont="1" applyFill="1" applyBorder="1" applyAlignment="1">
      <alignment vertical="center" wrapText="1"/>
    </xf>
    <xf numFmtId="3" fontId="49" fillId="21" borderId="7" xfId="1" applyNumberFormat="1" applyFont="1" applyFill="1" applyBorder="1" applyAlignment="1">
      <alignment vertical="center" wrapText="1"/>
    </xf>
    <xf numFmtId="49" fontId="7" fillId="0" borderId="25" xfId="1" applyNumberFormat="1" applyFont="1" applyBorder="1" applyAlignment="1">
      <alignment horizontal="center" vertical="center" wrapText="1"/>
    </xf>
    <xf numFmtId="3" fontId="47" fillId="0" borderId="24" xfId="1" applyNumberFormat="1" applyFont="1" applyBorder="1" applyAlignment="1">
      <alignment vertical="center" wrapText="1"/>
    </xf>
    <xf numFmtId="0" fontId="49" fillId="21" borderId="14" xfId="1" applyFont="1" applyFill="1" applyBorder="1" applyAlignment="1">
      <alignment vertical="center" wrapText="1"/>
    </xf>
    <xf numFmtId="3" fontId="8" fillId="22" borderId="24" xfId="1" applyNumberFormat="1" applyFont="1" applyFill="1" applyBorder="1" applyAlignment="1">
      <alignment vertical="center" wrapText="1"/>
    </xf>
    <xf numFmtId="0" fontId="47" fillId="0" borderId="107" xfId="1" applyFont="1" applyBorder="1" applyAlignment="1">
      <alignment vertical="center" wrapText="1"/>
    </xf>
    <xf numFmtId="0" fontId="47" fillId="0" borderId="132" xfId="1" applyFont="1" applyBorder="1" applyAlignment="1">
      <alignment horizontal="center" vertical="center" wrapText="1"/>
    </xf>
    <xf numFmtId="3" fontId="47" fillId="0" borderId="67" xfId="1" applyNumberFormat="1" applyFont="1" applyBorder="1" applyAlignment="1">
      <alignment vertical="center" wrapText="1"/>
    </xf>
    <xf numFmtId="0" fontId="47" fillId="0" borderId="124" xfId="1" applyFont="1" applyBorder="1" applyAlignment="1">
      <alignment vertical="center" wrapText="1"/>
    </xf>
    <xf numFmtId="0" fontId="47" fillId="0" borderId="25" xfId="1" applyFont="1" applyBorder="1" applyAlignment="1">
      <alignment horizontal="center" vertical="center" wrapText="1"/>
    </xf>
    <xf numFmtId="0" fontId="8" fillId="22" borderId="132" xfId="1" quotePrefix="1" applyFont="1" applyFill="1" applyBorder="1" applyAlignment="1">
      <alignment horizontal="left" vertical="center" wrapText="1"/>
    </xf>
    <xf numFmtId="3" fontId="8" fillId="22" borderId="67" xfId="1" applyNumberFormat="1" applyFont="1" applyFill="1" applyBorder="1" applyAlignment="1">
      <alignment vertical="center" wrapText="1"/>
    </xf>
    <xf numFmtId="0" fontId="47" fillId="5" borderId="133" xfId="1" applyFont="1" applyFill="1" applyBorder="1" applyAlignment="1">
      <alignment vertical="center" wrapText="1"/>
    </xf>
    <xf numFmtId="0" fontId="47" fillId="5" borderId="129" xfId="1" applyFont="1" applyFill="1" applyBorder="1" applyAlignment="1">
      <alignment vertical="center" wrapText="1"/>
    </xf>
    <xf numFmtId="0" fontId="47" fillId="5" borderId="134" xfId="1" applyFont="1" applyFill="1" applyBorder="1" applyAlignment="1">
      <alignment vertical="center" wrapText="1"/>
    </xf>
    <xf numFmtId="0" fontId="47" fillId="0" borderId="27" xfId="1" applyFont="1" applyBorder="1" applyAlignment="1">
      <alignment horizontal="center" vertical="center" wrapText="1"/>
    </xf>
    <xf numFmtId="3" fontId="47" fillId="0" borderId="19" xfId="1" applyNumberFormat="1" applyFont="1" applyBorder="1" applyAlignment="1">
      <alignment vertical="center" wrapText="1"/>
    </xf>
    <xf numFmtId="0" fontId="8" fillId="22" borderId="25" xfId="1" quotePrefix="1" applyFont="1" applyFill="1" applyBorder="1" applyAlignment="1">
      <alignment horizontal="left" vertical="center" wrapText="1"/>
    </xf>
    <xf numFmtId="3" fontId="7" fillId="0" borderId="24" xfId="1" applyNumberFormat="1" applyFont="1" applyBorder="1" applyAlignment="1">
      <alignment vertical="center" wrapText="1"/>
    </xf>
    <xf numFmtId="3" fontId="7" fillId="0" borderId="67" xfId="1" applyNumberFormat="1" applyFont="1" applyBorder="1" applyAlignment="1">
      <alignment vertical="center" wrapText="1"/>
    </xf>
    <xf numFmtId="3" fontId="7" fillId="0" borderId="19" xfId="1" applyNumberFormat="1" applyFont="1" applyBorder="1" applyAlignment="1">
      <alignment vertical="center" wrapText="1"/>
    </xf>
    <xf numFmtId="49" fontId="8" fillId="22" borderId="25" xfId="1" applyNumberFormat="1" applyFont="1" applyFill="1" applyBorder="1" applyAlignment="1">
      <alignment horizontal="left" vertical="center" wrapText="1"/>
    </xf>
    <xf numFmtId="49" fontId="9" fillId="0" borderId="131" xfId="1" applyNumberFormat="1" applyFont="1" applyBorder="1" applyAlignment="1">
      <alignment horizontal="center" vertical="center" wrapText="1"/>
    </xf>
    <xf numFmtId="49" fontId="47" fillId="0" borderId="25" xfId="1" applyNumberFormat="1" applyFont="1" applyBorder="1" applyAlignment="1">
      <alignment horizontal="center" vertical="center" wrapText="1"/>
    </xf>
    <xf numFmtId="49" fontId="8" fillId="22" borderId="127" xfId="1" applyNumberFormat="1" applyFont="1" applyFill="1" applyBorder="1" applyAlignment="1">
      <alignment horizontal="left" vertical="center" wrapText="1"/>
    </xf>
    <xf numFmtId="49" fontId="9" fillId="21" borderId="19" xfId="1" applyNumberFormat="1" applyFont="1" applyFill="1" applyBorder="1" applyAlignment="1">
      <alignment horizontal="center" vertical="center" wrapText="1"/>
    </xf>
    <xf numFmtId="0" fontId="49" fillId="21" borderId="28" xfId="1" applyFont="1" applyFill="1" applyBorder="1" applyAlignment="1">
      <alignment vertical="center" wrapText="1"/>
    </xf>
    <xf numFmtId="0" fontId="49" fillId="21" borderId="27" xfId="1" applyFont="1" applyFill="1" applyBorder="1" applyAlignment="1">
      <alignment vertical="center" wrapText="1"/>
    </xf>
    <xf numFmtId="3" fontId="9" fillId="21" borderId="19" xfId="1" applyNumberFormat="1" applyFont="1" applyFill="1" applyBorder="1" applyAlignment="1">
      <alignment vertical="center" wrapText="1"/>
    </xf>
    <xf numFmtId="0" fontId="47" fillId="0" borderId="0" xfId="1" applyFont="1" applyBorder="1" applyAlignment="1">
      <alignment vertical="center" wrapText="1"/>
    </xf>
    <xf numFmtId="0" fontId="47" fillId="0" borderId="131" xfId="1" applyFont="1" applyBorder="1" applyAlignment="1">
      <alignment horizontal="center" vertical="center" wrapText="1"/>
    </xf>
    <xf numFmtId="3" fontId="7" fillId="5" borderId="23" xfId="1" applyNumberFormat="1" applyFont="1" applyFill="1" applyBorder="1" applyAlignment="1">
      <alignment vertical="center" wrapText="1"/>
    </xf>
    <xf numFmtId="0" fontId="8" fillId="0" borderId="67" xfId="1" applyFont="1" applyFill="1" applyBorder="1" applyAlignment="1">
      <alignment horizontal="center" vertical="center" wrapText="1"/>
    </xf>
    <xf numFmtId="49" fontId="15" fillId="4" borderId="14" xfId="1" applyNumberFormat="1" applyFont="1" applyFill="1" applyBorder="1" applyAlignment="1">
      <alignment horizontal="center" vertical="center" wrapText="1"/>
    </xf>
    <xf numFmtId="49" fontId="15" fillId="4" borderId="7" xfId="1" applyNumberFormat="1" applyFont="1" applyFill="1" applyBorder="1" applyAlignment="1">
      <alignment horizontal="center" vertical="center" wrapText="1"/>
    </xf>
    <xf numFmtId="49" fontId="15" fillId="4" borderId="18" xfId="1" applyNumberFormat="1" applyFont="1" applyFill="1" applyBorder="1" applyAlignment="1">
      <alignment horizontal="left" vertical="center" wrapText="1"/>
    </xf>
    <xf numFmtId="49" fontId="15" fillId="4" borderId="14" xfId="1" applyNumberFormat="1" applyFont="1" applyFill="1" applyBorder="1" applyAlignment="1">
      <alignment horizontal="left" vertical="center" wrapText="1"/>
    </xf>
    <xf numFmtId="49" fontId="9" fillId="21" borderId="17" xfId="1" applyNumberFormat="1" applyFont="1" applyFill="1" applyBorder="1" applyAlignment="1">
      <alignment horizontal="center" vertical="center" wrapText="1"/>
    </xf>
    <xf numFmtId="0" fontId="47" fillId="0" borderId="133" xfId="1" applyFont="1" applyBorder="1" applyAlignment="1">
      <alignment vertical="center" wrapText="1"/>
    </xf>
    <xf numFmtId="0" fontId="8" fillId="0" borderId="135" xfId="1" applyFont="1" applyFill="1" applyBorder="1" applyAlignment="1">
      <alignment horizontal="center" vertical="center" wrapText="1"/>
    </xf>
    <xf numFmtId="0" fontId="15" fillId="4" borderId="7" xfId="1" applyFont="1" applyFill="1" applyBorder="1" applyAlignment="1">
      <alignment horizontal="center" vertical="center" wrapText="1"/>
    </xf>
    <xf numFmtId="0" fontId="15" fillId="4" borderId="27" xfId="1" applyFont="1" applyFill="1" applyBorder="1" applyAlignment="1">
      <alignment horizontal="left" vertical="center" wrapText="1"/>
    </xf>
    <xf numFmtId="3" fontId="15" fillId="4" borderId="19" xfId="1" applyNumberFormat="1" applyFont="1" applyFill="1" applyBorder="1" applyAlignment="1">
      <alignment vertical="center" wrapText="1"/>
    </xf>
    <xf numFmtId="0" fontId="9" fillId="21" borderId="7" xfId="1" applyFont="1" applyFill="1" applyBorder="1" applyAlignment="1">
      <alignment horizontal="center" vertical="center" wrapText="1"/>
    </xf>
    <xf numFmtId="3" fontId="7" fillId="7" borderId="24" xfId="1" applyNumberFormat="1" applyFont="1" applyFill="1" applyBorder="1" applyAlignment="1">
      <alignment vertical="center" wrapText="1"/>
    </xf>
    <xf numFmtId="0" fontId="15" fillId="4" borderId="19" xfId="1" applyFont="1" applyFill="1" applyBorder="1" applyAlignment="1">
      <alignment horizontal="center" vertical="center" wrapText="1"/>
    </xf>
    <xf numFmtId="0" fontId="15" fillId="4" borderId="28" xfId="1" applyFont="1" applyFill="1" applyBorder="1" applyAlignment="1">
      <alignment vertical="center" wrapText="1"/>
    </xf>
    <xf numFmtId="0" fontId="15" fillId="4" borderId="27" xfId="1" applyFont="1" applyFill="1" applyBorder="1" applyAlignment="1">
      <alignment vertical="center" wrapText="1"/>
    </xf>
    <xf numFmtId="0" fontId="49" fillId="21" borderId="17" xfId="1" applyFont="1" applyFill="1" applyBorder="1" applyAlignment="1">
      <alignment horizontal="center" vertical="center" wrapText="1"/>
    </xf>
    <xf numFmtId="0" fontId="5" fillId="0" borderId="107" xfId="1" applyFont="1" applyBorder="1" applyAlignment="1">
      <alignment vertical="center"/>
    </xf>
    <xf numFmtId="49" fontId="5" fillId="0" borderId="132" xfId="1" applyNumberFormat="1" applyBorder="1" applyAlignment="1">
      <alignment horizontal="center" vertical="center"/>
    </xf>
    <xf numFmtId="0" fontId="5" fillId="0" borderId="107" xfId="1" applyBorder="1" applyAlignment="1">
      <alignment vertical="center" wrapText="1"/>
    </xf>
    <xf numFmtId="49" fontId="7" fillId="0" borderId="67" xfId="1" applyNumberFormat="1" applyFont="1" applyFill="1" applyBorder="1" applyAlignment="1">
      <alignment horizontal="center" vertical="center" wrapText="1"/>
    </xf>
    <xf numFmtId="0" fontId="8" fillId="22" borderId="25" xfId="1" applyFont="1" applyFill="1" applyBorder="1" applyAlignment="1">
      <alignment horizontal="left" vertical="center" wrapText="1"/>
    </xf>
    <xf numFmtId="0" fontId="7" fillId="5" borderId="124" xfId="1" applyFont="1" applyFill="1" applyBorder="1" applyAlignment="1">
      <alignment vertical="center" wrapText="1"/>
    </xf>
    <xf numFmtId="0" fontId="7" fillId="5" borderId="25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5" borderId="132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center" vertical="center" wrapText="1"/>
    </xf>
    <xf numFmtId="3" fontId="7" fillId="0" borderId="23" xfId="1" applyNumberFormat="1" applyFont="1" applyBorder="1" applyAlignment="1">
      <alignment vertical="center" wrapText="1"/>
    </xf>
    <xf numFmtId="0" fontId="9" fillId="21" borderId="18" xfId="1" applyFont="1" applyFill="1" applyBorder="1" applyAlignment="1">
      <alignment vertical="center" wrapText="1"/>
    </xf>
    <xf numFmtId="0" fontId="49" fillId="0" borderId="23" xfId="1" applyFont="1" applyFill="1" applyBorder="1" applyAlignment="1">
      <alignment horizontal="center" vertical="center" wrapText="1"/>
    </xf>
    <xf numFmtId="0" fontId="49" fillId="21" borderId="7" xfId="1" applyFont="1" applyFill="1" applyBorder="1" applyAlignment="1">
      <alignment horizontal="center" vertical="center" wrapText="1"/>
    </xf>
    <xf numFmtId="0" fontId="47" fillId="0" borderId="67" xfId="1" applyFont="1" applyBorder="1" applyAlignment="1">
      <alignment horizontal="center" vertical="center" wrapText="1"/>
    </xf>
    <xf numFmtId="0" fontId="8" fillId="22" borderId="11" xfId="1" quotePrefix="1" applyFont="1" applyFill="1" applyBorder="1" applyAlignment="1">
      <alignment horizontal="left" vertical="center" wrapText="1"/>
    </xf>
    <xf numFmtId="3" fontId="8" fillId="22" borderId="23" xfId="1" applyNumberFormat="1" applyFont="1" applyFill="1" applyBorder="1" applyAlignment="1">
      <alignment vertical="center" wrapText="1"/>
    </xf>
    <xf numFmtId="3" fontId="51" fillId="21" borderId="7" xfId="1" applyNumberFormat="1" applyFont="1" applyFill="1" applyBorder="1" applyAlignment="1">
      <alignment vertical="center" wrapText="1"/>
    </xf>
    <xf numFmtId="3" fontId="42" fillId="22" borderId="24" xfId="1" applyNumberFormat="1" applyFont="1" applyFill="1" applyBorder="1" applyAlignment="1">
      <alignment vertical="center" wrapText="1"/>
    </xf>
    <xf numFmtId="3" fontId="52" fillId="7" borderId="24" xfId="1" applyNumberFormat="1" applyFont="1" applyFill="1" applyBorder="1" applyAlignment="1">
      <alignment vertical="center" wrapText="1"/>
    </xf>
    <xf numFmtId="0" fontId="47" fillId="5" borderId="124" xfId="1" applyFont="1" applyFill="1" applyBorder="1" applyAlignment="1">
      <alignment horizontal="left" vertical="center" wrapText="1"/>
    </xf>
    <xf numFmtId="3" fontId="52" fillId="7" borderId="67" xfId="1" applyNumberFormat="1" applyFont="1" applyFill="1" applyBorder="1" applyAlignment="1">
      <alignment vertical="center" wrapText="1"/>
    </xf>
    <xf numFmtId="0" fontId="47" fillId="0" borderId="11" xfId="1" applyFont="1" applyBorder="1" applyAlignment="1">
      <alignment horizontal="center" vertical="center" wrapText="1"/>
    </xf>
    <xf numFmtId="3" fontId="52" fillId="7" borderId="23" xfId="1" applyNumberFormat="1" applyFont="1" applyFill="1" applyBorder="1" applyAlignment="1">
      <alignment vertical="center" wrapText="1"/>
    </xf>
    <xf numFmtId="0" fontId="9" fillId="21" borderId="17" xfId="1" applyFont="1" applyFill="1" applyBorder="1" applyAlignment="1">
      <alignment horizontal="left" vertical="center" wrapText="1"/>
    </xf>
    <xf numFmtId="0" fontId="7" fillId="21" borderId="14" xfId="1" quotePrefix="1" applyFont="1" applyFill="1" applyBorder="1" applyAlignment="1">
      <alignment horizontal="center" vertical="center" wrapText="1"/>
    </xf>
    <xf numFmtId="3" fontId="7" fillId="21" borderId="7" xfId="1" applyNumberFormat="1" applyFont="1" applyFill="1" applyBorder="1" applyAlignment="1">
      <alignment vertical="center" wrapText="1"/>
    </xf>
    <xf numFmtId="0" fontId="7" fillId="22" borderId="16" xfId="1" quotePrefix="1" applyFont="1" applyFill="1" applyBorder="1" applyAlignment="1">
      <alignment horizontal="center" vertical="center" wrapText="1"/>
    </xf>
    <xf numFmtId="3" fontId="8" fillId="22" borderId="26" xfId="1" applyNumberFormat="1" applyFont="1" applyFill="1" applyBorder="1" applyAlignment="1">
      <alignment vertical="center" wrapText="1"/>
    </xf>
    <xf numFmtId="0" fontId="7" fillId="5" borderId="133" xfId="1" applyFont="1" applyFill="1" applyBorder="1" applyAlignment="1">
      <alignment horizontal="left" vertical="center" wrapText="1"/>
    </xf>
    <xf numFmtId="49" fontId="7" fillId="5" borderId="132" xfId="1" applyNumberFormat="1" applyFont="1" applyFill="1" applyBorder="1" applyAlignment="1">
      <alignment horizontal="center" vertical="center" wrapText="1"/>
    </xf>
    <xf numFmtId="3" fontId="7" fillId="5" borderId="67" xfId="1" applyNumberFormat="1" applyFont="1" applyFill="1" applyBorder="1" applyAlignment="1">
      <alignment vertical="center" wrapText="1"/>
    </xf>
    <xf numFmtId="0" fontId="7" fillId="5" borderId="67" xfId="1" applyFont="1" applyFill="1" applyBorder="1" applyAlignment="1">
      <alignment horizontal="left" vertical="center" wrapText="1"/>
    </xf>
    <xf numFmtId="0" fontId="7" fillId="5" borderId="132" xfId="1" quotePrefix="1" applyFont="1" applyFill="1" applyBorder="1" applyAlignment="1">
      <alignment horizontal="center" vertical="center" wrapText="1"/>
    </xf>
    <xf numFmtId="0" fontId="7" fillId="22" borderId="27" xfId="1" quotePrefix="1" applyFont="1" applyFill="1" applyBorder="1" applyAlignment="1">
      <alignment horizontal="center" vertical="center" wrapText="1"/>
    </xf>
    <xf numFmtId="3" fontId="8" fillId="22" borderId="19" xfId="1" applyNumberFormat="1" applyFont="1" applyFill="1" applyBorder="1" applyAlignment="1">
      <alignment vertical="center" wrapText="1"/>
    </xf>
    <xf numFmtId="0" fontId="50" fillId="4" borderId="7" xfId="1" applyFont="1" applyFill="1" applyBorder="1" applyAlignment="1">
      <alignment horizontal="center" vertical="center" wrapText="1"/>
    </xf>
    <xf numFmtId="0" fontId="50" fillId="4" borderId="17" xfId="1" applyFont="1" applyFill="1" applyBorder="1" applyAlignment="1">
      <alignment vertical="center" wrapText="1"/>
    </xf>
    <xf numFmtId="0" fontId="50" fillId="4" borderId="14" xfId="1" applyFont="1" applyFill="1" applyBorder="1" applyAlignment="1">
      <alignment vertical="center" wrapText="1"/>
    </xf>
    <xf numFmtId="3" fontId="50" fillId="4" borderId="7" xfId="1" applyNumberFormat="1" applyFont="1" applyFill="1" applyBorder="1" applyAlignment="1">
      <alignment vertical="center" wrapText="1"/>
    </xf>
    <xf numFmtId="0" fontId="47" fillId="0" borderId="12" xfId="1" applyFont="1" applyBorder="1" applyAlignment="1">
      <alignment vertical="center" wrapText="1"/>
    </xf>
    <xf numFmtId="0" fontId="47" fillId="0" borderId="127" xfId="1" applyFont="1" applyBorder="1" applyAlignment="1">
      <alignment horizontal="center" vertical="center" wrapText="1"/>
    </xf>
    <xf numFmtId="3" fontId="47" fillId="0" borderId="12" xfId="1" applyNumberFormat="1" applyFont="1" applyBorder="1" applyAlignment="1">
      <alignment vertical="center" wrapText="1"/>
    </xf>
    <xf numFmtId="0" fontId="8" fillId="22" borderId="24" xfId="1" quotePrefix="1" applyFont="1" applyFill="1" applyBorder="1" applyAlignment="1">
      <alignment horizontal="left" vertical="center" wrapText="1"/>
    </xf>
    <xf numFmtId="0" fontId="47" fillId="0" borderId="67" xfId="1" applyFont="1" applyBorder="1" applyAlignment="1">
      <alignment vertical="center" wrapText="1"/>
    </xf>
    <xf numFmtId="0" fontId="49" fillId="4" borderId="7" xfId="1" applyFont="1" applyFill="1" applyBorder="1" applyAlignment="1">
      <alignment horizontal="center" vertical="center" wrapText="1"/>
    </xf>
    <xf numFmtId="0" fontId="7" fillId="0" borderId="25" xfId="1" quotePrefix="1" applyFont="1" applyFill="1" applyBorder="1" applyAlignment="1">
      <alignment horizontal="center" vertical="center" wrapText="1"/>
    </xf>
    <xf numFmtId="49" fontId="53" fillId="22" borderId="25" xfId="1" applyNumberFormat="1" applyFont="1" applyFill="1" applyBorder="1" applyAlignment="1">
      <alignment vertical="center" wrapText="1"/>
    </xf>
    <xf numFmtId="0" fontId="49" fillId="21" borderId="19" xfId="1" applyFont="1" applyFill="1" applyBorder="1" applyAlignment="1">
      <alignment horizontal="center" vertical="center" wrapText="1"/>
    </xf>
    <xf numFmtId="0" fontId="49" fillId="0" borderId="67" xfId="1" applyFont="1" applyBorder="1" applyAlignment="1">
      <alignment horizontal="center" vertical="center" wrapText="1"/>
    </xf>
    <xf numFmtId="0" fontId="49" fillId="0" borderId="131" xfId="1" applyFont="1" applyBorder="1" applyAlignment="1">
      <alignment horizontal="center" vertical="center" wrapText="1"/>
    </xf>
    <xf numFmtId="0" fontId="8" fillId="22" borderId="11" xfId="1" quotePrefix="1" applyFont="1" applyFill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7" fillId="0" borderId="128" xfId="1" applyFont="1" applyBorder="1" applyAlignment="1">
      <alignment horizontal="left" vertical="center" wrapText="1"/>
    </xf>
    <xf numFmtId="0" fontId="7" fillId="0" borderId="127" xfId="1" applyFont="1" applyBorder="1" applyAlignment="1">
      <alignment horizontal="center" vertical="center" wrapText="1"/>
    </xf>
    <xf numFmtId="0" fontId="15" fillId="4" borderId="14" xfId="1" applyFont="1" applyFill="1" applyBorder="1" applyAlignment="1">
      <alignment horizontal="left" vertical="center" wrapText="1"/>
    </xf>
    <xf numFmtId="0" fontId="12" fillId="0" borderId="0" xfId="1" applyFont="1"/>
    <xf numFmtId="0" fontId="8" fillId="0" borderId="24" xfId="1" applyFont="1" applyFill="1" applyBorder="1" applyAlignment="1">
      <alignment horizontal="center" vertical="center" wrapText="1"/>
    </xf>
    <xf numFmtId="0" fontId="7" fillId="0" borderId="107" xfId="1" applyFont="1" applyBorder="1" applyAlignment="1">
      <alignment horizontal="left" vertical="center" wrapText="1"/>
    </xf>
    <xf numFmtId="49" fontId="8" fillId="22" borderId="25" xfId="1" quotePrefix="1" applyNumberFormat="1" applyFont="1" applyFill="1" applyBorder="1" applyAlignment="1">
      <alignment horizontal="center" vertical="center" wrapText="1"/>
    </xf>
    <xf numFmtId="49" fontId="7" fillId="0" borderId="132" xfId="1" applyNumberFormat="1" applyFont="1" applyBorder="1" applyAlignment="1">
      <alignment horizontal="center" vertical="center" wrapText="1"/>
    </xf>
    <xf numFmtId="0" fontId="7" fillId="0" borderId="127" xfId="1" applyFont="1" applyBorder="1" applyAlignment="1">
      <alignment horizontal="left" vertical="center" wrapText="1"/>
    </xf>
    <xf numFmtId="49" fontId="7" fillId="0" borderId="127" xfId="1" applyNumberFormat="1" applyFont="1" applyBorder="1" applyAlignment="1">
      <alignment horizontal="center" vertical="center" wrapText="1"/>
    </xf>
    <xf numFmtId="0" fontId="50" fillId="4" borderId="14" xfId="1" applyFont="1" applyFill="1" applyBorder="1" applyAlignment="1">
      <alignment horizontal="center" vertical="center" wrapText="1"/>
    </xf>
    <xf numFmtId="0" fontId="49" fillId="4" borderId="38" xfId="1" applyFont="1" applyFill="1" applyBorder="1" applyAlignment="1">
      <alignment horizontal="center" vertical="center" wrapText="1"/>
    </xf>
    <xf numFmtId="0" fontId="50" fillId="4" borderId="18" xfId="1" applyFont="1" applyFill="1" applyBorder="1" applyAlignment="1">
      <alignment vertical="center" wrapText="1"/>
    </xf>
    <xf numFmtId="0" fontId="9" fillId="21" borderId="17" xfId="1" applyFont="1" applyFill="1" applyBorder="1" applyAlignment="1">
      <alignment horizontal="center" vertical="center" wrapText="1"/>
    </xf>
    <xf numFmtId="0" fontId="7" fillId="0" borderId="102" xfId="13" applyFont="1" applyFill="1" applyBorder="1" applyAlignment="1">
      <alignment horizontal="left" vertical="center" wrapText="1"/>
    </xf>
    <xf numFmtId="0" fontId="7" fillId="0" borderId="131" xfId="1" applyFont="1" applyFill="1" applyBorder="1" applyAlignment="1">
      <alignment horizontal="center" vertical="center" wrapText="1"/>
    </xf>
    <xf numFmtId="0" fontId="7" fillId="0" borderId="133" xfId="1" applyFont="1" applyFill="1" applyBorder="1" applyAlignment="1">
      <alignment vertical="center" wrapText="1"/>
    </xf>
    <xf numFmtId="0" fontId="7" fillId="0" borderId="67" xfId="1" applyFont="1" applyFill="1" applyBorder="1" applyAlignment="1">
      <alignment horizontal="center" vertical="center" wrapText="1"/>
    </xf>
    <xf numFmtId="3" fontId="7" fillId="0" borderId="67" xfId="1" applyNumberFormat="1" applyFont="1" applyFill="1" applyBorder="1" applyAlignment="1">
      <alignment vertical="center" wrapText="1"/>
    </xf>
    <xf numFmtId="3" fontId="42" fillId="22" borderId="23" xfId="1" applyNumberFormat="1" applyFont="1" applyFill="1" applyBorder="1" applyAlignment="1">
      <alignment vertical="center" wrapText="1"/>
    </xf>
    <xf numFmtId="0" fontId="47" fillId="0" borderId="55" xfId="1" applyFont="1" applyBorder="1" applyAlignment="1">
      <alignment vertical="center" wrapText="1"/>
    </xf>
    <xf numFmtId="0" fontId="8" fillId="22" borderId="14" xfId="1" quotePrefix="1" applyFont="1" applyFill="1" applyBorder="1" applyAlignment="1">
      <alignment horizontal="left" vertical="center" wrapText="1"/>
    </xf>
    <xf numFmtId="3" fontId="8" fillId="22" borderId="7" xfId="1" applyNumberFormat="1" applyFont="1" applyFill="1" applyBorder="1" applyAlignment="1">
      <alignment vertical="center" wrapText="1"/>
    </xf>
    <xf numFmtId="0" fontId="47" fillId="0" borderId="124" xfId="1" applyFont="1" applyFill="1" applyBorder="1" applyAlignment="1">
      <alignment vertical="center" wrapText="1"/>
    </xf>
    <xf numFmtId="0" fontId="47" fillId="0" borderId="25" xfId="1" applyFont="1" applyFill="1" applyBorder="1" applyAlignment="1">
      <alignment horizontal="center" vertical="center" wrapText="1"/>
    </xf>
    <xf numFmtId="3" fontId="52" fillId="0" borderId="24" xfId="1" applyNumberFormat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136" xfId="1" quotePrefix="1" applyFont="1" applyBorder="1" applyAlignment="1">
      <alignment horizontal="center" vertical="center" wrapText="1"/>
    </xf>
    <xf numFmtId="3" fontId="36" fillId="0" borderId="23" xfId="1" applyNumberFormat="1" applyFont="1" applyBorder="1" applyAlignment="1">
      <alignment horizontal="right" vertical="center" wrapText="1"/>
    </xf>
    <xf numFmtId="0" fontId="47" fillId="5" borderId="23" xfId="1" applyFont="1" applyFill="1" applyBorder="1" applyAlignment="1">
      <alignment horizontal="center" vertical="center" wrapText="1"/>
    </xf>
    <xf numFmtId="0" fontId="7" fillId="0" borderId="134" xfId="1" applyFont="1" applyBorder="1" applyAlignment="1">
      <alignment horizontal="left" vertical="center" wrapText="1"/>
    </xf>
    <xf numFmtId="0" fontId="7" fillId="0" borderId="127" xfId="1" quotePrefix="1" applyFont="1" applyBorder="1" applyAlignment="1">
      <alignment horizontal="center" vertical="center" wrapText="1"/>
    </xf>
    <xf numFmtId="3" fontId="36" fillId="0" borderId="12" xfId="1" applyNumberFormat="1" applyFont="1" applyBorder="1" applyAlignment="1">
      <alignment horizontal="right" vertical="center" wrapText="1"/>
    </xf>
    <xf numFmtId="3" fontId="42" fillId="22" borderId="12" xfId="1" applyNumberFormat="1" applyFont="1" applyFill="1" applyBorder="1" applyAlignment="1">
      <alignment vertical="center" wrapText="1"/>
    </xf>
    <xf numFmtId="49" fontId="47" fillId="0" borderId="11" xfId="1" applyNumberFormat="1" applyFont="1" applyBorder="1" applyAlignment="1">
      <alignment horizontal="center" vertical="center" wrapText="1"/>
    </xf>
    <xf numFmtId="3" fontId="42" fillId="22" borderId="67" xfId="1" applyNumberFormat="1" applyFont="1" applyFill="1" applyBorder="1" applyAlignment="1">
      <alignment vertical="center" wrapText="1"/>
    </xf>
    <xf numFmtId="0" fontId="49" fillId="21" borderId="28" xfId="1" applyFont="1" applyFill="1" applyBorder="1" applyAlignment="1">
      <alignment horizontal="center" vertical="center" wrapText="1"/>
    </xf>
    <xf numFmtId="3" fontId="49" fillId="21" borderId="19" xfId="1" applyNumberFormat="1" applyFont="1" applyFill="1" applyBorder="1" applyAlignment="1">
      <alignment vertical="center" wrapText="1"/>
    </xf>
    <xf numFmtId="0" fontId="8" fillId="22" borderId="27" xfId="1" quotePrefix="1" applyFont="1" applyFill="1" applyBorder="1" applyAlignment="1">
      <alignment horizontal="left" vertical="center" wrapText="1"/>
    </xf>
    <xf numFmtId="0" fontId="54" fillId="4" borderId="17" xfId="1" applyFont="1" applyFill="1" applyBorder="1" applyAlignment="1">
      <alignment vertical="center" wrapText="1"/>
    </xf>
    <xf numFmtId="0" fontId="54" fillId="4" borderId="14" xfId="1" applyFont="1" applyFill="1" applyBorder="1" applyAlignment="1">
      <alignment vertical="center" wrapText="1"/>
    </xf>
    <xf numFmtId="0" fontId="51" fillId="21" borderId="17" xfId="1" applyFont="1" applyFill="1" applyBorder="1" applyAlignment="1">
      <alignment vertical="center" wrapText="1"/>
    </xf>
    <xf numFmtId="0" fontId="51" fillId="21" borderId="14" xfId="1" applyFont="1" applyFill="1" applyBorder="1" applyAlignment="1">
      <alignment vertical="center" wrapText="1"/>
    </xf>
    <xf numFmtId="0" fontId="5" fillId="21" borderId="0" xfId="1" applyFill="1"/>
    <xf numFmtId="3" fontId="55" fillId="22" borderId="24" xfId="1" applyNumberFormat="1" applyFont="1" applyFill="1" applyBorder="1" applyAlignment="1">
      <alignment vertical="center" wrapText="1"/>
    </xf>
    <xf numFmtId="0" fontId="49" fillId="5" borderId="133" xfId="1" applyFont="1" applyFill="1" applyBorder="1" applyAlignment="1">
      <alignment horizontal="center" vertical="center" wrapText="1"/>
    </xf>
    <xf numFmtId="0" fontId="52" fillId="5" borderId="107" xfId="1" applyFont="1" applyFill="1" applyBorder="1" applyAlignment="1">
      <alignment vertical="center" wrapText="1"/>
    </xf>
    <xf numFmtId="0" fontId="52" fillId="5" borderId="132" xfId="1" applyFont="1" applyFill="1" applyBorder="1" applyAlignment="1">
      <alignment horizontal="center" vertical="center" wrapText="1"/>
    </xf>
    <xf numFmtId="3" fontId="47" fillId="5" borderId="67" xfId="1" applyNumberFormat="1" applyFont="1" applyFill="1" applyBorder="1" applyAlignment="1">
      <alignment vertical="center" wrapText="1"/>
    </xf>
    <xf numFmtId="0" fontId="8" fillId="22" borderId="136" xfId="1" applyFont="1" applyFill="1" applyBorder="1" applyAlignment="1">
      <alignment horizontal="left" vertical="center" wrapText="1"/>
    </xf>
    <xf numFmtId="3" fontId="55" fillId="22" borderId="131" xfId="1" applyNumberFormat="1" applyFont="1" applyFill="1" applyBorder="1" applyAlignment="1">
      <alignment vertical="center" wrapText="1"/>
    </xf>
    <xf numFmtId="0" fontId="8" fillId="22" borderId="127" xfId="1" applyFont="1" applyFill="1" applyBorder="1" applyAlignment="1">
      <alignment horizontal="left" vertical="center" wrapText="1"/>
    </xf>
    <xf numFmtId="3" fontId="55" fillId="22" borderId="12" xfId="1" applyNumberFormat="1" applyFont="1" applyFill="1" applyBorder="1" applyAlignment="1">
      <alignment vertical="center" wrapText="1"/>
    </xf>
    <xf numFmtId="49" fontId="52" fillId="5" borderId="132" xfId="1" applyNumberFormat="1" applyFont="1" applyFill="1" applyBorder="1" applyAlignment="1">
      <alignment horizontal="center" vertical="center" wrapText="1"/>
    </xf>
    <xf numFmtId="0" fontId="8" fillId="5" borderId="23" xfId="1" applyFont="1" applyFill="1" applyBorder="1" applyAlignment="1">
      <alignment horizontal="center" vertical="center" wrapText="1"/>
    </xf>
    <xf numFmtId="0" fontId="53" fillId="5" borderId="107" xfId="1" applyFont="1" applyFill="1" applyBorder="1" applyAlignment="1">
      <alignment vertical="center" wrapText="1"/>
    </xf>
    <xf numFmtId="0" fontId="53" fillId="5" borderId="132" xfId="1" applyFont="1" applyFill="1" applyBorder="1" applyAlignment="1">
      <alignment horizontal="center" vertical="center" wrapText="1"/>
    </xf>
    <xf numFmtId="0" fontId="56" fillId="5" borderId="24" xfId="1" applyFont="1" applyFill="1" applyBorder="1" applyAlignment="1">
      <alignment vertical="center" wrapText="1"/>
    </xf>
    <xf numFmtId="0" fontId="10" fillId="5" borderId="107" xfId="1" applyFont="1" applyFill="1" applyBorder="1" applyAlignment="1">
      <alignment horizontal="left" vertical="center" wrapText="1"/>
    </xf>
    <xf numFmtId="0" fontId="10" fillId="5" borderId="132" xfId="1" applyFont="1" applyFill="1" applyBorder="1" applyAlignment="1">
      <alignment horizontal="center" vertical="center" wrapText="1"/>
    </xf>
    <xf numFmtId="0" fontId="56" fillId="22" borderId="132" xfId="1" applyFont="1" applyFill="1" applyBorder="1" applyAlignment="1">
      <alignment horizontal="left" vertical="center" wrapText="1"/>
    </xf>
    <xf numFmtId="3" fontId="55" fillId="22" borderId="67" xfId="1" applyNumberFormat="1" applyFont="1" applyFill="1" applyBorder="1" applyAlignment="1">
      <alignment vertical="center" wrapText="1"/>
    </xf>
    <xf numFmtId="0" fontId="10" fillId="5" borderId="131" xfId="1" applyFont="1" applyFill="1" applyBorder="1" applyAlignment="1">
      <alignment horizontal="center" vertical="center" wrapText="1"/>
    </xf>
    <xf numFmtId="0" fontId="57" fillId="21" borderId="17" xfId="1" applyFont="1" applyFill="1" applyBorder="1" applyAlignment="1">
      <alignment horizontal="center" vertical="center" wrapText="1"/>
    </xf>
    <xf numFmtId="0" fontId="57" fillId="21" borderId="17" xfId="1" applyFont="1" applyFill="1" applyBorder="1" applyAlignment="1">
      <alignment vertical="center" wrapText="1"/>
    </xf>
    <xf numFmtId="0" fontId="57" fillId="21" borderId="14" xfId="1" applyFont="1" applyFill="1" applyBorder="1" applyAlignment="1">
      <alignment vertical="center" wrapText="1"/>
    </xf>
    <xf numFmtId="0" fontId="56" fillId="22" borderId="25" xfId="1" applyFont="1" applyFill="1" applyBorder="1" applyAlignment="1">
      <alignment horizontal="left" vertical="center" wrapText="1"/>
    </xf>
    <xf numFmtId="0" fontId="56" fillId="22" borderId="132" xfId="1" applyFont="1" applyFill="1" applyBorder="1" applyAlignment="1">
      <alignment horizontal="center" vertical="center" wrapText="1"/>
    </xf>
    <xf numFmtId="0" fontId="56" fillId="5" borderId="19" xfId="1" applyFont="1" applyFill="1" applyBorder="1" applyAlignment="1">
      <alignment horizontal="center" vertical="center" wrapText="1"/>
    </xf>
    <xf numFmtId="0" fontId="53" fillId="5" borderId="128" xfId="1" applyFont="1" applyFill="1" applyBorder="1" applyAlignment="1">
      <alignment vertical="center" wrapText="1"/>
    </xf>
    <xf numFmtId="0" fontId="53" fillId="5" borderId="127" xfId="1" applyFont="1" applyFill="1" applyBorder="1" applyAlignment="1">
      <alignment horizontal="center" vertical="center" wrapText="1"/>
    </xf>
    <xf numFmtId="3" fontId="7" fillId="5" borderId="12" xfId="1" applyNumberFormat="1" applyFont="1" applyFill="1" applyBorder="1" applyAlignment="1">
      <alignment vertical="center" wrapText="1"/>
    </xf>
    <xf numFmtId="0" fontId="57" fillId="5" borderId="131" xfId="1" applyFont="1" applyFill="1" applyBorder="1" applyAlignment="1">
      <alignment horizontal="center" vertical="center" wrapText="1"/>
    </xf>
    <xf numFmtId="0" fontId="56" fillId="5" borderId="131" xfId="1" applyFont="1" applyFill="1" applyBorder="1" applyAlignment="1">
      <alignment horizontal="center" vertical="center" wrapText="1"/>
    </xf>
    <xf numFmtId="0" fontId="58" fillId="4" borderId="7" xfId="1" applyFont="1" applyFill="1" applyBorder="1" applyAlignment="1">
      <alignment horizontal="center" vertical="center" wrapText="1"/>
    </xf>
    <xf numFmtId="0" fontId="58" fillId="4" borderId="17" xfId="1" applyFont="1" applyFill="1" applyBorder="1" applyAlignment="1">
      <alignment vertical="center" wrapText="1"/>
    </xf>
    <xf numFmtId="0" fontId="58" fillId="4" borderId="14" xfId="1" applyFont="1" applyFill="1" applyBorder="1" applyAlignment="1">
      <alignment vertical="center" wrapText="1"/>
    </xf>
    <xf numFmtId="0" fontId="5" fillId="23" borderId="0" xfId="1" applyFill="1"/>
    <xf numFmtId="0" fontId="59" fillId="21" borderId="17" xfId="1" applyFont="1" applyFill="1" applyBorder="1" applyAlignment="1">
      <alignment horizontal="center" vertical="center" wrapText="1"/>
    </xf>
    <xf numFmtId="0" fontId="59" fillId="21" borderId="17" xfId="1" applyFont="1" applyFill="1" applyBorder="1" applyAlignment="1">
      <alignment horizontal="left" vertical="center" wrapText="1"/>
    </xf>
    <xf numFmtId="0" fontId="59" fillId="21" borderId="14" xfId="1" applyFont="1" applyFill="1" applyBorder="1" applyAlignment="1">
      <alignment horizontal="left" vertical="center" wrapText="1"/>
    </xf>
    <xf numFmtId="0" fontId="56" fillId="5" borderId="135" xfId="1" applyFont="1" applyFill="1" applyBorder="1" applyAlignment="1">
      <alignment horizontal="center" vertical="center" wrapText="1"/>
    </xf>
    <xf numFmtId="49" fontId="47" fillId="0" borderId="132" xfId="1" applyNumberFormat="1" applyFont="1" applyBorder="1" applyAlignment="1">
      <alignment horizontal="center" vertical="center" wrapText="1"/>
    </xf>
    <xf numFmtId="0" fontId="56" fillId="22" borderId="136" xfId="1" applyFont="1" applyFill="1" applyBorder="1" applyAlignment="1">
      <alignment horizontal="left" vertical="center" wrapText="1"/>
    </xf>
    <xf numFmtId="0" fontId="56" fillId="5" borderId="23" xfId="1" applyFont="1" applyFill="1" applyBorder="1" applyAlignment="1">
      <alignment horizontal="center" vertical="center" wrapText="1"/>
    </xf>
    <xf numFmtId="49" fontId="56" fillId="22" borderId="132" xfId="1" applyNumberFormat="1" applyFont="1" applyFill="1" applyBorder="1" applyAlignment="1">
      <alignment horizontal="center" vertical="center" wrapText="1"/>
    </xf>
    <xf numFmtId="0" fontId="56" fillId="22" borderId="127" xfId="1" applyFont="1" applyFill="1" applyBorder="1" applyAlignment="1">
      <alignment horizontal="left" vertical="center" wrapText="1"/>
    </xf>
    <xf numFmtId="0" fontId="10" fillId="5" borderId="133" xfId="1" applyFont="1" applyFill="1" applyBorder="1" applyAlignment="1">
      <alignment horizontal="left" vertical="center" wrapText="1"/>
    </xf>
    <xf numFmtId="0" fontId="10" fillId="5" borderId="3" xfId="1" applyFont="1" applyFill="1" applyBorder="1" applyAlignment="1">
      <alignment horizontal="left" vertical="center" wrapText="1"/>
    </xf>
    <xf numFmtId="49" fontId="56" fillId="22" borderId="127" xfId="1" applyNumberFormat="1" applyFont="1" applyFill="1" applyBorder="1" applyAlignment="1">
      <alignment horizontal="center" vertical="center" wrapText="1"/>
    </xf>
    <xf numFmtId="0" fontId="58" fillId="4" borderId="26" xfId="1" applyFont="1" applyFill="1" applyBorder="1" applyAlignment="1">
      <alignment horizontal="center" vertical="center" wrapText="1"/>
    </xf>
    <xf numFmtId="0" fontId="58" fillId="4" borderId="15" xfId="1" applyFont="1" applyFill="1" applyBorder="1" applyAlignment="1">
      <alignment vertical="center" wrapText="1"/>
    </xf>
    <xf numFmtId="0" fontId="58" fillId="4" borderId="16" xfId="1" applyFont="1" applyFill="1" applyBorder="1" applyAlignment="1">
      <alignment vertical="center" wrapText="1"/>
    </xf>
    <xf numFmtId="3" fontId="50" fillId="4" borderId="26" xfId="1" applyNumberFormat="1" applyFont="1" applyFill="1" applyBorder="1" applyAlignment="1">
      <alignment vertical="center" wrapText="1"/>
    </xf>
    <xf numFmtId="0" fontId="57" fillId="21" borderId="7" xfId="1" applyFont="1" applyFill="1" applyBorder="1" applyAlignment="1">
      <alignment horizontal="center" vertical="center" wrapText="1"/>
    </xf>
    <xf numFmtId="0" fontId="57" fillId="5" borderId="133" xfId="1" applyFont="1" applyFill="1" applyBorder="1" applyAlignment="1">
      <alignment horizontal="center" vertical="center" wrapText="1"/>
    </xf>
    <xf numFmtId="0" fontId="50" fillId="5" borderId="23" xfId="1" applyFont="1" applyFill="1" applyBorder="1" applyAlignment="1">
      <alignment vertical="center" wrapText="1"/>
    </xf>
    <xf numFmtId="49" fontId="10" fillId="5" borderId="132" xfId="1" applyNumberFormat="1" applyFont="1" applyFill="1" applyBorder="1" applyAlignment="1">
      <alignment horizontal="center" vertical="center" wrapText="1"/>
    </xf>
    <xf numFmtId="3" fontId="8" fillId="22" borderId="131" xfId="1" applyNumberFormat="1" applyFont="1" applyFill="1" applyBorder="1" applyAlignment="1">
      <alignment vertical="center" wrapText="1"/>
    </xf>
    <xf numFmtId="0" fontId="57" fillId="21" borderId="18" xfId="1" applyFont="1" applyFill="1" applyBorder="1" applyAlignment="1">
      <alignment vertical="center" wrapText="1"/>
    </xf>
    <xf numFmtId="0" fontId="56" fillId="5" borderId="133" xfId="1" applyFont="1" applyFill="1" applyBorder="1" applyAlignment="1">
      <alignment horizontal="left" vertical="center" wrapText="1"/>
    </xf>
    <xf numFmtId="0" fontId="56" fillId="5" borderId="133" xfId="1" applyFont="1" applyFill="1" applyBorder="1" applyAlignment="1">
      <alignment horizontal="center" vertical="center" wrapText="1"/>
    </xf>
    <xf numFmtId="0" fontId="56" fillId="5" borderId="134" xfId="1" applyFont="1" applyFill="1" applyBorder="1" applyAlignment="1">
      <alignment horizontal="left" vertical="center" wrapText="1"/>
    </xf>
    <xf numFmtId="0" fontId="10" fillId="5" borderId="128" xfId="1" applyFont="1" applyFill="1" applyBorder="1" applyAlignment="1">
      <alignment horizontal="left" vertical="center" wrapText="1"/>
    </xf>
    <xf numFmtId="49" fontId="10" fillId="5" borderId="127" xfId="1" applyNumberFormat="1" applyFont="1" applyFill="1" applyBorder="1" applyAlignment="1">
      <alignment horizontal="center" vertical="center" wrapText="1"/>
    </xf>
    <xf numFmtId="3" fontId="47" fillId="5" borderId="12" xfId="1" applyNumberFormat="1" applyFont="1" applyFill="1" applyBorder="1" applyAlignment="1">
      <alignment vertical="center" wrapText="1"/>
    </xf>
    <xf numFmtId="0" fontId="53" fillId="5" borderId="135" xfId="1" applyFont="1" applyFill="1" applyBorder="1" applyAlignment="1">
      <alignment vertical="center" wrapText="1"/>
    </xf>
    <xf numFmtId="49" fontId="53" fillId="5" borderId="132" xfId="1" applyNumberFormat="1" applyFont="1" applyFill="1" applyBorder="1" applyAlignment="1">
      <alignment horizontal="center" vertical="center" wrapText="1"/>
    </xf>
    <xf numFmtId="0" fontId="57" fillId="5" borderId="24" xfId="1" applyFont="1" applyFill="1" applyBorder="1" applyAlignment="1">
      <alignment horizontal="center" vertical="center" wrapText="1"/>
    </xf>
    <xf numFmtId="3" fontId="7" fillId="5" borderId="131" xfId="1" applyNumberFormat="1" applyFont="1" applyFill="1" applyBorder="1" applyAlignment="1">
      <alignment vertical="center" wrapText="1"/>
    </xf>
    <xf numFmtId="0" fontId="57" fillId="5" borderId="67" xfId="1" applyFont="1" applyFill="1" applyBorder="1" applyAlignment="1">
      <alignment horizontal="center" vertical="center" wrapText="1"/>
    </xf>
    <xf numFmtId="0" fontId="57" fillId="21" borderId="28" xfId="1" applyFont="1" applyFill="1" applyBorder="1" applyAlignment="1">
      <alignment horizontal="center" vertical="center" wrapText="1"/>
    </xf>
    <xf numFmtId="0" fontId="57" fillId="21" borderId="28" xfId="1" applyFont="1" applyFill="1" applyBorder="1" applyAlignment="1">
      <alignment vertical="center" wrapText="1"/>
    </xf>
    <xf numFmtId="0" fontId="57" fillId="21" borderId="27" xfId="1" applyFont="1" applyFill="1" applyBorder="1" applyAlignment="1">
      <alignment vertical="center" wrapText="1"/>
    </xf>
    <xf numFmtId="0" fontId="56" fillId="22" borderId="11" xfId="1" applyFont="1" applyFill="1" applyBorder="1" applyAlignment="1">
      <alignment horizontal="left" vertical="center" wrapText="1"/>
    </xf>
    <xf numFmtId="0" fontId="47" fillId="5" borderId="107" xfId="1" applyFont="1" applyFill="1" applyBorder="1" applyAlignment="1">
      <alignment vertical="center" wrapText="1"/>
    </xf>
    <xf numFmtId="49" fontId="47" fillId="5" borderId="132" xfId="1" applyNumberFormat="1" applyFont="1" applyFill="1" applyBorder="1" applyAlignment="1">
      <alignment horizontal="center" vertical="center" wrapText="1"/>
    </xf>
    <xf numFmtId="0" fontId="14" fillId="4" borderId="26" xfId="1" applyFont="1" applyFill="1" applyBorder="1" applyAlignment="1">
      <alignment horizontal="center" vertical="center" wrapText="1"/>
    </xf>
    <xf numFmtId="0" fontId="14" fillId="4" borderId="15" xfId="1" applyFont="1" applyFill="1" applyBorder="1" applyAlignment="1">
      <alignment vertical="center" wrapText="1"/>
    </xf>
    <xf numFmtId="0" fontId="14" fillId="4" borderId="16" xfId="1" applyFont="1" applyFill="1" applyBorder="1" applyAlignment="1">
      <alignment vertical="center" wrapText="1"/>
    </xf>
    <xf numFmtId="3" fontId="15" fillId="4" borderId="26" xfId="1" applyNumberFormat="1" applyFont="1" applyFill="1" applyBorder="1" applyAlignment="1">
      <alignment vertical="center" wrapText="1"/>
    </xf>
    <xf numFmtId="3" fontId="47" fillId="22" borderId="131" xfId="1" applyNumberFormat="1" applyFont="1" applyFill="1" applyBorder="1" applyAlignment="1">
      <alignment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4" fillId="4" borderId="17" xfId="1" applyFont="1" applyFill="1" applyBorder="1" applyAlignment="1">
      <alignment horizontal="left" vertical="center" wrapText="1"/>
    </xf>
    <xf numFmtId="0" fontId="14" fillId="4" borderId="14" xfId="1" applyFont="1" applyFill="1" applyBorder="1" applyAlignment="1">
      <alignment horizontal="left" vertical="center" wrapText="1"/>
    </xf>
    <xf numFmtId="0" fontId="59" fillId="21" borderId="7" xfId="1" applyFont="1" applyFill="1" applyBorder="1" applyAlignment="1">
      <alignment horizontal="center" vertical="center" wrapText="1"/>
    </xf>
    <xf numFmtId="3" fontId="13" fillId="3" borderId="7" xfId="1" applyNumberFormat="1" applyFont="1" applyFill="1" applyBorder="1" applyAlignment="1">
      <alignment vertical="center" wrapText="1"/>
    </xf>
    <xf numFmtId="0" fontId="5" fillId="4" borderId="13" xfId="1" applyFont="1" applyFill="1" applyBorder="1" applyAlignment="1">
      <alignment vertical="center"/>
    </xf>
    <xf numFmtId="3" fontId="5" fillId="4" borderId="13" xfId="1" applyNumberFormat="1" applyFont="1" applyFill="1" applyBorder="1" applyAlignment="1">
      <alignment vertical="center"/>
    </xf>
    <xf numFmtId="0" fontId="5" fillId="4" borderId="67" xfId="1" applyFont="1" applyFill="1" applyBorder="1" applyAlignment="1">
      <alignment vertical="center"/>
    </xf>
    <xf numFmtId="3" fontId="61" fillId="4" borderId="67" xfId="1" applyNumberFormat="1" applyFont="1" applyFill="1" applyBorder="1" applyAlignment="1">
      <alignment vertical="center"/>
    </xf>
    <xf numFmtId="0" fontId="5" fillId="4" borderId="12" xfId="1" applyFont="1" applyFill="1" applyBorder="1" applyAlignment="1">
      <alignment vertical="center"/>
    </xf>
    <xf numFmtId="3" fontId="61" fillId="4" borderId="12" xfId="1" applyNumberFormat="1" applyFont="1" applyFill="1" applyBorder="1" applyAlignment="1">
      <alignment vertical="center"/>
    </xf>
    <xf numFmtId="0" fontId="62" fillId="0" borderId="0" xfId="1" applyFont="1" applyAlignment="1">
      <alignment vertical="center"/>
    </xf>
    <xf numFmtId="3" fontId="12" fillId="17" borderId="81" xfId="1" applyNumberFormat="1" applyFont="1" applyFill="1" applyBorder="1" applyAlignment="1">
      <alignment vertical="center"/>
    </xf>
    <xf numFmtId="0" fontId="5" fillId="0" borderId="81" xfId="1" applyFont="1" applyBorder="1" applyAlignment="1">
      <alignment horizontal="center" vertical="center"/>
    </xf>
    <xf numFmtId="0" fontId="5" fillId="0" borderId="81" xfId="1" applyFont="1" applyBorder="1" applyAlignment="1">
      <alignment vertical="center"/>
    </xf>
    <xf numFmtId="3" fontId="5" fillId="0" borderId="81" xfId="1" applyNumberFormat="1" applyFont="1" applyBorder="1" applyAlignment="1">
      <alignment vertical="center"/>
    </xf>
    <xf numFmtId="0" fontId="5" fillId="0" borderId="81" xfId="1" applyFont="1" applyBorder="1" applyAlignment="1">
      <alignment vertical="center" wrapText="1"/>
    </xf>
    <xf numFmtId="0" fontId="12" fillId="0" borderId="81" xfId="1" applyFont="1" applyBorder="1" applyAlignment="1">
      <alignment horizontal="center" vertical="center"/>
    </xf>
    <xf numFmtId="0" fontId="5" fillId="0" borderId="81" xfId="1" applyFont="1" applyBorder="1" applyAlignment="1">
      <alignment horizontal="left" vertical="center"/>
    </xf>
    <xf numFmtId="0" fontId="12" fillId="0" borderId="102" xfId="1" applyFont="1" applyBorder="1" applyAlignment="1">
      <alignment horizontal="center" vertical="center"/>
    </xf>
    <xf numFmtId="3" fontId="12" fillId="0" borderId="81" xfId="1" applyNumberFormat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19" fillId="0" borderId="0" xfId="1" applyFont="1" applyAlignment="1">
      <alignment vertical="center" wrapText="1"/>
    </xf>
    <xf numFmtId="0" fontId="23" fillId="0" borderId="0" xfId="1" applyFont="1" applyAlignment="1">
      <alignment vertical="center"/>
    </xf>
    <xf numFmtId="3" fontId="23" fillId="0" borderId="0" xfId="1" applyNumberFormat="1" applyFont="1" applyAlignment="1">
      <alignment vertical="center"/>
    </xf>
    <xf numFmtId="0" fontId="23" fillId="0" borderId="0" xfId="1" applyFont="1" applyAlignment="1">
      <alignment horizontal="center" vertical="center" wrapText="1"/>
    </xf>
    <xf numFmtId="0" fontId="8" fillId="0" borderId="0" xfId="1" applyFont="1" applyAlignment="1">
      <alignment horizontal="right" vertical="center" wrapText="1"/>
    </xf>
    <xf numFmtId="3" fontId="23" fillId="0" borderId="0" xfId="1" applyNumberFormat="1" applyFont="1" applyAlignment="1">
      <alignment horizontal="center" vertical="center"/>
    </xf>
    <xf numFmtId="0" fontId="15" fillId="4" borderId="59" xfId="1" applyFont="1" applyFill="1" applyBorder="1" applyAlignment="1">
      <alignment horizontal="center" vertical="center"/>
    </xf>
    <xf numFmtId="0" fontId="15" fillId="4" borderId="36" xfId="1" applyFont="1" applyFill="1" applyBorder="1" applyAlignment="1">
      <alignment horizontal="center" vertical="center"/>
    </xf>
    <xf numFmtId="0" fontId="15" fillId="4" borderId="38" xfId="1" applyFont="1" applyFill="1" applyBorder="1" applyAlignment="1">
      <alignment horizontal="center" vertical="center" wrapText="1"/>
    </xf>
    <xf numFmtId="0" fontId="15" fillId="0" borderId="92" xfId="1" applyFont="1" applyBorder="1" applyAlignment="1">
      <alignment horizontal="center" vertical="center"/>
    </xf>
    <xf numFmtId="3" fontId="15" fillId="0" borderId="139" xfId="1" applyNumberFormat="1" applyFont="1" applyBorder="1" applyAlignment="1">
      <alignment horizontal="right" vertical="center"/>
    </xf>
    <xf numFmtId="3" fontId="8" fillId="0" borderId="141" xfId="1" applyNumberFormat="1" applyFont="1" applyBorder="1" applyAlignment="1">
      <alignment horizontal="right" vertical="center"/>
    </xf>
    <xf numFmtId="49" fontId="7" fillId="0" borderId="81" xfId="1" applyNumberFormat="1" applyFont="1" applyBorder="1" applyAlignment="1">
      <alignment horizontal="center" vertical="center"/>
    </xf>
    <xf numFmtId="49" fontId="8" fillId="24" borderId="81" xfId="1" applyNumberFormat="1" applyFont="1" applyFill="1" applyBorder="1" applyAlignment="1">
      <alignment horizontal="center" vertical="center"/>
    </xf>
    <xf numFmtId="3" fontId="7" fillId="0" borderId="141" xfId="1" applyNumberFormat="1" applyFont="1" applyBorder="1" applyAlignment="1">
      <alignment horizontal="right" vertical="center"/>
    </xf>
    <xf numFmtId="0" fontId="7" fillId="0" borderId="81" xfId="1" applyFont="1" applyBorder="1" applyAlignment="1">
      <alignment horizontal="center" vertical="center"/>
    </xf>
    <xf numFmtId="0" fontId="8" fillId="24" borderId="81" xfId="1" applyFont="1" applyFill="1" applyBorder="1" applyAlignment="1">
      <alignment horizontal="center" vertical="center"/>
    </xf>
    <xf numFmtId="0" fontId="7" fillId="24" borderId="81" xfId="1" applyFont="1" applyFill="1" applyBorder="1" applyAlignment="1">
      <alignment horizontal="center" vertical="center"/>
    </xf>
    <xf numFmtId="0" fontId="15" fillId="7" borderId="81" xfId="1" applyFont="1" applyFill="1" applyBorder="1" applyAlignment="1">
      <alignment horizontal="center" vertical="center"/>
    </xf>
    <xf numFmtId="3" fontId="15" fillId="0" borderId="141" xfId="1" applyNumberFormat="1" applyFont="1" applyBorder="1" applyAlignment="1">
      <alignment horizontal="right" vertical="center"/>
    </xf>
    <xf numFmtId="0" fontId="15" fillId="0" borderId="81" xfId="1" applyFont="1" applyBorder="1" applyAlignment="1">
      <alignment horizontal="center" vertical="center"/>
    </xf>
    <xf numFmtId="0" fontId="15" fillId="0" borderId="81" xfId="1" applyFont="1" applyFill="1" applyBorder="1" applyAlignment="1">
      <alignment horizontal="center" vertical="center" wrapText="1"/>
    </xf>
    <xf numFmtId="0" fontId="7" fillId="0" borderId="87" xfId="1" applyFont="1" applyBorder="1" applyAlignment="1">
      <alignment horizontal="center" vertical="center"/>
    </xf>
    <xf numFmtId="0" fontId="7" fillId="24" borderId="87" xfId="1" applyFont="1" applyFill="1" applyBorder="1" applyAlignment="1">
      <alignment horizontal="center" vertical="center"/>
    </xf>
    <xf numFmtId="3" fontId="7" fillId="0" borderId="143" xfId="1" applyNumberFormat="1" applyFont="1" applyBorder="1" applyAlignment="1">
      <alignment horizontal="right" vertical="center"/>
    </xf>
    <xf numFmtId="3" fontId="15" fillId="4" borderId="38" xfId="1" applyNumberFormat="1" applyFont="1" applyFill="1" applyBorder="1" applyAlignment="1">
      <alignment horizontal="right" vertical="center"/>
    </xf>
    <xf numFmtId="49" fontId="23" fillId="0" borderId="0" xfId="1" applyNumberFormat="1" applyFont="1" applyAlignment="1">
      <alignment vertical="center"/>
    </xf>
    <xf numFmtId="0" fontId="23" fillId="0" borderId="0" xfId="1" applyFont="1" applyAlignment="1">
      <alignment horizontal="right" vertical="center"/>
    </xf>
    <xf numFmtId="0" fontId="63" fillId="0" borderId="0" xfId="1" applyFont="1" applyAlignment="1">
      <alignment vertical="center"/>
    </xf>
    <xf numFmtId="0" fontId="15" fillId="4" borderId="65" xfId="1" applyFont="1" applyFill="1" applyBorder="1" applyAlignment="1">
      <alignment horizontal="center" vertical="center" wrapText="1"/>
    </xf>
    <xf numFmtId="0" fontId="15" fillId="24" borderId="92" xfId="1" applyFont="1" applyFill="1" applyBorder="1" applyAlignment="1">
      <alignment horizontal="center" vertical="center"/>
    </xf>
    <xf numFmtId="3" fontId="15" fillId="24" borderId="92" xfId="1" applyNumberFormat="1" applyFont="1" applyFill="1" applyBorder="1" applyAlignment="1">
      <alignment horizontal="right" vertical="center"/>
    </xf>
    <xf numFmtId="3" fontId="15" fillId="24" borderId="139" xfId="1" applyNumberFormat="1" applyFont="1" applyFill="1" applyBorder="1" applyAlignment="1">
      <alignment horizontal="right" vertical="center"/>
    </xf>
    <xf numFmtId="49" fontId="15" fillId="0" borderId="81" xfId="1" applyNumberFormat="1" applyFont="1" applyFill="1" applyBorder="1" applyAlignment="1">
      <alignment horizontal="center" vertical="center" wrapText="1"/>
    </xf>
    <xf numFmtId="3" fontId="15" fillId="0" borderId="81" xfId="1" applyNumberFormat="1" applyFont="1" applyFill="1" applyBorder="1" applyAlignment="1">
      <alignment horizontal="right" vertical="center"/>
    </xf>
    <xf numFmtId="3" fontId="15" fillId="0" borderId="141" xfId="1" applyNumberFormat="1" applyFont="1" applyFill="1" applyBorder="1" applyAlignment="1">
      <alignment horizontal="right" vertical="center"/>
    </xf>
    <xf numFmtId="49" fontId="8" fillId="0" borderId="81" xfId="1" applyNumberFormat="1" applyFont="1" applyFill="1" applyBorder="1" applyAlignment="1">
      <alignment horizontal="center" vertical="center" wrapText="1"/>
    </xf>
    <xf numFmtId="3" fontId="8" fillId="0" borderId="81" xfId="1" applyNumberFormat="1" applyFont="1" applyFill="1" applyBorder="1" applyAlignment="1">
      <alignment horizontal="right" vertical="center"/>
    </xf>
    <xf numFmtId="3" fontId="8" fillId="0" borderId="141" xfId="1" applyNumberFormat="1" applyFont="1" applyFill="1" applyBorder="1" applyAlignment="1">
      <alignment horizontal="right" vertical="center"/>
    </xf>
    <xf numFmtId="4" fontId="23" fillId="0" borderId="0" xfId="1" applyNumberFormat="1" applyFont="1" applyAlignment="1">
      <alignment horizontal="center" vertical="center"/>
    </xf>
    <xf numFmtId="0" fontId="8" fillId="0" borderId="81" xfId="1" applyFont="1" applyFill="1" applyBorder="1" applyAlignment="1">
      <alignment horizontal="center" vertical="center" wrapText="1"/>
    </xf>
    <xf numFmtId="0" fontId="8" fillId="0" borderId="81" xfId="1" applyFont="1" applyFill="1" applyBorder="1" applyAlignment="1">
      <alignment horizontal="center" vertical="center"/>
    </xf>
    <xf numFmtId="49" fontId="15" fillId="0" borderId="81" xfId="1" applyNumberFormat="1" applyFont="1" applyFill="1" applyBorder="1" applyAlignment="1">
      <alignment horizontal="center" vertical="center"/>
    </xf>
    <xf numFmtId="49" fontId="15" fillId="24" borderId="81" xfId="1" applyNumberFormat="1" applyFont="1" applyFill="1" applyBorder="1" applyAlignment="1">
      <alignment horizontal="center" vertical="center"/>
    </xf>
    <xf numFmtId="3" fontId="15" fillId="24" borderId="81" xfId="1" applyNumberFormat="1" applyFont="1" applyFill="1" applyBorder="1" applyAlignment="1">
      <alignment horizontal="right" vertical="center"/>
    </xf>
    <xf numFmtId="3" fontId="15" fillId="24" borderId="141" xfId="1" applyNumberFormat="1" applyFont="1" applyFill="1" applyBorder="1" applyAlignment="1">
      <alignment horizontal="right" vertical="center"/>
    </xf>
    <xf numFmtId="0" fontId="15" fillId="24" borderId="81" xfId="1" applyFont="1" applyFill="1" applyBorder="1" applyAlignment="1">
      <alignment horizontal="center" vertical="center"/>
    </xf>
    <xf numFmtId="49" fontId="15" fillId="0" borderId="87" xfId="1" applyNumberFormat="1" applyFont="1" applyFill="1" applyBorder="1" applyAlignment="1">
      <alignment horizontal="center" vertical="center"/>
    </xf>
    <xf numFmtId="0" fontId="15" fillId="0" borderId="87" xfId="1" applyFont="1" applyFill="1" applyBorder="1" applyAlignment="1">
      <alignment horizontal="center" vertical="center" wrapText="1"/>
    </xf>
    <xf numFmtId="3" fontId="40" fillId="0" borderId="81" xfId="1" applyNumberFormat="1" applyFont="1" applyFill="1" applyBorder="1" applyAlignment="1">
      <alignment horizontal="right" vertical="center"/>
    </xf>
    <xf numFmtId="3" fontId="23" fillId="17" borderId="0" xfId="1" applyNumberFormat="1" applyFont="1" applyFill="1" applyAlignment="1">
      <alignment horizontal="center" vertical="center"/>
    </xf>
    <xf numFmtId="0" fontId="23" fillId="17" borderId="0" xfId="1" applyFont="1" applyFill="1" applyAlignment="1">
      <alignment horizontal="center" vertical="center"/>
    </xf>
    <xf numFmtId="3" fontId="42" fillId="0" borderId="81" xfId="1" applyNumberFormat="1" applyFont="1" applyFill="1" applyBorder="1" applyAlignment="1">
      <alignment horizontal="right" vertical="center"/>
    </xf>
    <xf numFmtId="0" fontId="15" fillId="0" borderId="81" xfId="1" applyFont="1" applyFill="1" applyBorder="1" applyAlignment="1">
      <alignment horizontal="center" vertical="center"/>
    </xf>
    <xf numFmtId="0" fontId="15" fillId="24" borderId="81" xfId="1" applyFont="1" applyFill="1" applyBorder="1" applyAlignment="1">
      <alignment horizontal="center" vertical="center" wrapText="1"/>
    </xf>
    <xf numFmtId="0" fontId="8" fillId="0" borderId="87" xfId="1" applyFont="1" applyFill="1" applyBorder="1" applyAlignment="1">
      <alignment horizontal="center" vertical="center"/>
    </xf>
    <xf numFmtId="3" fontId="8" fillId="0" borderId="87" xfId="1" applyNumberFormat="1" applyFont="1" applyFill="1" applyBorder="1" applyAlignment="1">
      <alignment horizontal="right" vertical="center"/>
    </xf>
    <xf numFmtId="3" fontId="42" fillId="0" borderId="87" xfId="1" applyNumberFormat="1" applyFont="1" applyFill="1" applyBorder="1" applyAlignment="1">
      <alignment horizontal="right" vertical="center"/>
    </xf>
    <xf numFmtId="3" fontId="8" fillId="0" borderId="143" xfId="1" applyNumberFormat="1" applyFont="1" applyFill="1" applyBorder="1" applyAlignment="1">
      <alignment horizontal="right" vertical="center"/>
    </xf>
    <xf numFmtId="49" fontId="15" fillId="4" borderId="36" xfId="1" applyNumberFormat="1" applyFont="1" applyFill="1" applyBorder="1" applyAlignment="1">
      <alignment horizontal="center" vertical="center"/>
    </xf>
    <xf numFmtId="3" fontId="15" fillId="4" borderId="36" xfId="1" applyNumberFormat="1" applyFont="1" applyFill="1" applyBorder="1" applyAlignment="1">
      <alignment horizontal="right" vertical="center"/>
    </xf>
    <xf numFmtId="49" fontId="23" fillId="0" borderId="0" xfId="1" applyNumberFormat="1" applyFont="1" applyAlignment="1">
      <alignment horizontal="center" vertical="top"/>
    </xf>
    <xf numFmtId="49" fontId="64" fillId="0" borderId="0" xfId="1" applyNumberFormat="1" applyFont="1" applyAlignment="1">
      <alignment horizontal="center" vertical="center"/>
    </xf>
    <xf numFmtId="0" fontId="23" fillId="0" borderId="0" xfId="1" applyFont="1" applyAlignment="1">
      <alignment horizontal="center" vertical="top"/>
    </xf>
    <xf numFmtId="0" fontId="64" fillId="0" borderId="0" xfId="1" applyFont="1" applyAlignment="1">
      <alignment horizontal="center" vertical="center"/>
    </xf>
    <xf numFmtId="0" fontId="63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top"/>
    </xf>
    <xf numFmtId="0" fontId="66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49" fontId="68" fillId="0" borderId="124" xfId="0" applyNumberFormat="1" applyFont="1" applyBorder="1" applyAlignment="1">
      <alignment horizontal="center" vertical="center"/>
    </xf>
    <xf numFmtId="3" fontId="68" fillId="0" borderId="24" xfId="0" applyNumberFormat="1" applyFont="1" applyBorder="1" applyAlignment="1">
      <alignment horizontal="right" vertical="center" wrapText="1"/>
    </xf>
    <xf numFmtId="0" fontId="24" fillId="0" borderId="139" xfId="4" applyFont="1" applyBorder="1" applyAlignment="1">
      <alignment horizontal="left" vertical="center" wrapText="1"/>
    </xf>
    <xf numFmtId="49" fontId="24" fillId="0" borderId="107" xfId="0" applyNumberFormat="1" applyFont="1" applyBorder="1" applyAlignment="1">
      <alignment horizontal="center" vertical="center"/>
    </xf>
    <xf numFmtId="3" fontId="24" fillId="0" borderId="67" xfId="0" applyNumberFormat="1" applyFont="1" applyBorder="1" applyAlignment="1">
      <alignment horizontal="right" vertical="center" wrapText="1"/>
    </xf>
    <xf numFmtId="0" fontId="24" fillId="0" borderId="67" xfId="0" applyFont="1" applyBorder="1" applyAlignment="1">
      <alignment vertical="center" wrapText="1"/>
    </xf>
    <xf numFmtId="3" fontId="24" fillId="0" borderId="67" xfId="0" applyNumberFormat="1" applyFont="1" applyBorder="1" applyAlignment="1">
      <alignment horizontal="right" vertical="center"/>
    </xf>
    <xf numFmtId="3" fontId="24" fillId="0" borderId="67" xfId="0" applyNumberFormat="1" applyFont="1" applyBorder="1" applyAlignment="1">
      <alignment vertical="center" wrapText="1"/>
    </xf>
    <xf numFmtId="0" fontId="24" fillId="0" borderId="107" xfId="0" applyFont="1" applyBorder="1" applyAlignment="1">
      <alignment horizontal="center" vertical="center"/>
    </xf>
    <xf numFmtId="0" fontId="24" fillId="0" borderId="67" xfId="0" applyFont="1" applyBorder="1" applyAlignment="1">
      <alignment horizontal="left" vertical="center" wrapText="1"/>
    </xf>
    <xf numFmtId="0" fontId="67" fillId="0" borderId="67" xfId="0" applyFont="1" applyBorder="1" applyAlignment="1">
      <alignment horizontal="center" vertical="center"/>
    </xf>
    <xf numFmtId="3" fontId="69" fillId="2" borderId="7" xfId="0" applyNumberFormat="1" applyFont="1" applyFill="1" applyBorder="1" applyAlignment="1">
      <alignment horizontal="right" vertical="center" wrapText="1"/>
    </xf>
    <xf numFmtId="0" fontId="67" fillId="2" borderId="7" xfId="0" applyFont="1" applyFill="1" applyBorder="1" applyAlignment="1">
      <alignment vertical="center"/>
    </xf>
    <xf numFmtId="0" fontId="1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9" fillId="3" borderId="112" xfId="1" applyFont="1" applyFill="1" applyBorder="1" applyAlignment="1">
      <alignment horizontal="center" vertical="center" wrapText="1"/>
    </xf>
    <xf numFmtId="0" fontId="9" fillId="3" borderId="143" xfId="1" applyFont="1" applyFill="1" applyBorder="1" applyAlignment="1">
      <alignment horizontal="center" vertical="center" wrapText="1"/>
    </xf>
    <xf numFmtId="3" fontId="9" fillId="4" borderId="7" xfId="1" applyNumberFormat="1" applyFont="1" applyFill="1" applyBorder="1" applyAlignment="1">
      <alignment horizontal="right" vertical="center"/>
    </xf>
    <xf numFmtId="3" fontId="9" fillId="4" borderId="35" xfId="1" applyNumberFormat="1" applyFont="1" applyFill="1" applyBorder="1" applyAlignment="1">
      <alignment horizontal="right" vertical="center"/>
    </xf>
    <xf numFmtId="3" fontId="9" fillId="4" borderId="38" xfId="1" applyNumberFormat="1" applyFont="1" applyFill="1" applyBorder="1" applyAlignment="1">
      <alignment horizontal="right" vertical="center"/>
    </xf>
    <xf numFmtId="3" fontId="8" fillId="0" borderId="24" xfId="1" applyNumberFormat="1" applyFont="1" applyBorder="1" applyAlignment="1">
      <alignment horizontal="right" vertical="center"/>
    </xf>
    <xf numFmtId="3" fontId="8" fillId="0" borderId="115" xfId="1" applyNumberFormat="1" applyFont="1" applyBorder="1" applyAlignment="1">
      <alignment horizontal="right" vertical="center"/>
    </xf>
    <xf numFmtId="3" fontId="8" fillId="0" borderId="129" xfId="1" applyNumberFormat="1" applyFont="1" applyBorder="1" applyAlignment="1">
      <alignment horizontal="right" vertical="center"/>
    </xf>
    <xf numFmtId="0" fontId="7" fillId="0" borderId="102" xfId="1" applyFont="1" applyBorder="1" applyAlignment="1">
      <alignment horizontal="center" vertical="center"/>
    </xf>
    <xf numFmtId="49" fontId="8" fillId="24" borderId="111" xfId="1" applyNumberFormat="1" applyFont="1" applyFill="1" applyBorder="1" applyAlignment="1">
      <alignment horizontal="center" vertical="center" wrapText="1"/>
    </xf>
    <xf numFmtId="3" fontId="7" fillId="0" borderId="131" xfId="1" applyNumberFormat="1" applyFont="1" applyBorder="1" applyAlignment="1">
      <alignment horizontal="right" vertical="center"/>
    </xf>
    <xf numFmtId="3" fontId="7" fillId="0" borderId="112" xfId="1" applyNumberFormat="1" applyFont="1" applyBorder="1" applyAlignment="1">
      <alignment horizontal="right" vertical="center"/>
    </xf>
    <xf numFmtId="3" fontId="7" fillId="0" borderId="143" xfId="1" applyNumberFormat="1" applyFont="1" applyBorder="1" applyAlignment="1">
      <alignment vertical="center"/>
    </xf>
    <xf numFmtId="0" fontId="7" fillId="0" borderId="137" xfId="1" applyFont="1" applyBorder="1" applyAlignment="1">
      <alignment horizontal="center" vertical="center"/>
    </xf>
    <xf numFmtId="49" fontId="8" fillId="24" borderId="66" xfId="1" applyNumberFormat="1" applyFont="1" applyFill="1" applyBorder="1" applyAlignment="1">
      <alignment horizontal="center" vertical="center" wrapText="1"/>
    </xf>
    <xf numFmtId="3" fontId="7" fillId="0" borderId="137" xfId="1" applyNumberFormat="1" applyFont="1" applyBorder="1" applyAlignment="1">
      <alignment horizontal="right" vertical="center"/>
    </xf>
    <xf numFmtId="3" fontId="7" fillId="0" borderId="66" xfId="1" applyNumberFormat="1" applyFont="1" applyBorder="1" applyAlignment="1">
      <alignment vertical="center"/>
    </xf>
    <xf numFmtId="0" fontId="7" fillId="0" borderId="112" xfId="1" applyFont="1" applyBorder="1" applyAlignment="1">
      <alignment horizontal="center" vertical="center"/>
    </xf>
    <xf numFmtId="0" fontId="7" fillId="0" borderId="64" xfId="1" applyFont="1" applyBorder="1" applyAlignment="1">
      <alignment horizontal="center" vertical="center"/>
    </xf>
    <xf numFmtId="49" fontId="8" fillId="24" borderId="138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right" vertical="center"/>
    </xf>
    <xf numFmtId="3" fontId="8" fillId="0" borderId="144" xfId="1" applyNumberFormat="1" applyFont="1" applyBorder="1" applyAlignment="1">
      <alignment horizontal="right" vertical="center"/>
    </xf>
    <xf numFmtId="49" fontId="7" fillId="0" borderId="112" xfId="1" applyNumberFormat="1" applyFont="1" applyBorder="1" applyAlignment="1">
      <alignment horizontal="center" vertical="center"/>
    </xf>
    <xf numFmtId="3" fontId="15" fillId="3" borderId="7" xfId="1" applyNumberFormat="1" applyFont="1" applyFill="1" applyBorder="1" applyAlignment="1">
      <alignment horizontal="right" vertical="center"/>
    </xf>
    <xf numFmtId="3" fontId="15" fillId="3" borderId="35" xfId="1" applyNumberFormat="1" applyFont="1" applyFill="1" applyBorder="1" applyAlignment="1">
      <alignment horizontal="right" vertical="center"/>
    </xf>
    <xf numFmtId="49" fontId="29" fillId="0" borderId="0" xfId="1" applyNumberFormat="1" applyFont="1" applyBorder="1" applyAlignment="1">
      <alignment horizontal="center" vertical="top"/>
    </xf>
    <xf numFmtId="49" fontId="64" fillId="0" borderId="0" xfId="1" applyNumberFormat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right" vertical="center"/>
    </xf>
    <xf numFmtId="3" fontId="23" fillId="0" borderId="0" xfId="1" applyNumberFormat="1" applyFont="1" applyBorder="1" applyAlignment="1">
      <alignment horizontal="center" vertical="center"/>
    </xf>
    <xf numFmtId="49" fontId="29" fillId="0" borderId="0" xfId="1" applyNumberFormat="1" applyFont="1" applyAlignment="1">
      <alignment horizontal="center" vertical="top"/>
    </xf>
    <xf numFmtId="49" fontId="36" fillId="8" borderId="0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96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79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78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145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146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70" xfId="10" applyNumberFormat="1" applyFont="1" applyFill="1" applyBorder="1" applyAlignment="1" applyProtection="1">
      <alignment horizontal="center" vertical="center" wrapText="1"/>
      <protection locked="0"/>
    </xf>
    <xf numFmtId="49" fontId="36" fillId="10" borderId="146" xfId="10" applyNumberFormat="1" applyFont="1" applyFill="1" applyBorder="1" applyAlignment="1" applyProtection="1">
      <alignment horizontal="center" vertical="center" wrapText="1"/>
      <protection locked="0"/>
    </xf>
    <xf numFmtId="3" fontId="36" fillId="8" borderId="147" xfId="10" applyNumberFormat="1" applyFont="1" applyFill="1" applyBorder="1" applyAlignment="1" applyProtection="1">
      <alignment horizontal="right" vertical="center" wrapText="1"/>
      <protection locked="0"/>
    </xf>
    <xf numFmtId="49" fontId="36" fillId="0" borderId="146" xfId="10" applyNumberFormat="1" applyFont="1" applyFill="1" applyBorder="1" applyAlignment="1" applyProtection="1">
      <alignment vertical="center" wrapText="1"/>
      <protection locked="0"/>
    </xf>
    <xf numFmtId="49" fontId="36" fillId="15" borderId="146" xfId="10" applyNumberFormat="1" applyFont="1" applyFill="1" applyBorder="1" applyAlignment="1" applyProtection="1">
      <alignment horizontal="center" vertical="center" wrapText="1"/>
      <protection locked="0"/>
    </xf>
    <xf numFmtId="49" fontId="36" fillId="0" borderId="146" xfId="10" applyNumberFormat="1" applyFont="1" applyFill="1" applyBorder="1" applyAlignment="1" applyProtection="1">
      <alignment horizontal="center" vertical="center" wrapText="1"/>
      <protection locked="0"/>
    </xf>
    <xf numFmtId="3" fontId="36" fillId="0" borderId="91" xfId="10" applyNumberFormat="1" applyFont="1" applyFill="1" applyBorder="1" applyAlignment="1" applyProtection="1">
      <alignment horizontal="right" vertical="center" wrapText="1"/>
      <protection locked="0"/>
    </xf>
    <xf numFmtId="3" fontId="40" fillId="0" borderId="99" xfId="10" applyNumberFormat="1" applyFont="1" applyFill="1" applyBorder="1" applyAlignment="1" applyProtection="1">
      <alignment horizontal="right" vertical="center"/>
      <protection locked="0"/>
    </xf>
    <xf numFmtId="49" fontId="36" fillId="8" borderId="148" xfId="10" applyNumberFormat="1" applyFont="1" applyFill="1" applyBorder="1" applyAlignment="1" applyProtection="1">
      <alignment horizontal="center" vertical="center" wrapText="1"/>
      <protection locked="0"/>
    </xf>
    <xf numFmtId="3" fontId="36" fillId="0" borderId="147" xfId="10" applyNumberFormat="1" applyFont="1" applyFill="1" applyBorder="1" applyAlignment="1" applyProtection="1">
      <alignment vertical="center"/>
      <protection locked="0"/>
    </xf>
    <xf numFmtId="3" fontId="36" fillId="0" borderId="150" xfId="10" applyNumberFormat="1" applyFont="1" applyFill="1" applyBorder="1" applyAlignment="1" applyProtection="1">
      <alignment vertical="center"/>
      <protection locked="0"/>
    </xf>
    <xf numFmtId="49" fontId="36" fillId="8" borderId="145" xfId="10" applyNumberFormat="1" applyFont="1" applyFill="1" applyBorder="1" applyAlignment="1" applyProtection="1">
      <alignment horizontal="left" vertical="center" wrapText="1"/>
      <protection locked="0"/>
    </xf>
    <xf numFmtId="3" fontId="36" fillId="0" borderId="148" xfId="10" applyNumberFormat="1" applyFont="1" applyFill="1" applyBorder="1" applyAlignment="1" applyProtection="1">
      <alignment horizontal="right" vertical="center"/>
      <protection locked="0"/>
    </xf>
    <xf numFmtId="3" fontId="40" fillId="8" borderId="99" xfId="10" applyNumberFormat="1" applyFont="1" applyFill="1" applyBorder="1" applyAlignment="1" applyProtection="1">
      <alignment horizontal="right" vertical="center" wrapText="1"/>
      <protection locked="0"/>
    </xf>
    <xf numFmtId="49" fontId="36" fillId="20" borderId="146" xfId="10" applyNumberFormat="1" applyFont="1" applyFill="1" applyBorder="1" applyAlignment="1" applyProtection="1">
      <alignment horizontal="center" vertical="center" wrapText="1"/>
      <protection locked="0"/>
    </xf>
    <xf numFmtId="49" fontId="40" fillId="8" borderId="151" xfId="10" applyNumberFormat="1" applyFont="1" applyFill="1" applyBorder="1" applyAlignment="1" applyProtection="1">
      <alignment horizontal="center" vertical="center" wrapText="1"/>
      <protection locked="0"/>
    </xf>
    <xf numFmtId="49" fontId="40" fillId="9" borderId="151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152" xfId="10" applyNumberFormat="1" applyFont="1" applyFill="1" applyBorder="1" applyAlignment="1" applyProtection="1">
      <alignment horizontal="center" vertical="center" wrapText="1"/>
      <protection locked="0"/>
    </xf>
    <xf numFmtId="49" fontId="40" fillId="9" borderId="153" xfId="10" applyNumberFormat="1" applyFont="1" applyFill="1" applyBorder="1" applyAlignment="1" applyProtection="1">
      <alignment horizontal="center" vertical="center" wrapText="1"/>
      <protection locked="0"/>
    </xf>
    <xf numFmtId="49" fontId="40" fillId="9" borderId="154" xfId="10" applyNumberFormat="1" applyFont="1" applyFill="1" applyBorder="1" applyAlignment="1" applyProtection="1">
      <alignment horizontal="center" vertical="center" wrapText="1"/>
      <protection locked="0"/>
    </xf>
    <xf numFmtId="49" fontId="36" fillId="0" borderId="152" xfId="10" applyNumberFormat="1" applyFont="1" applyFill="1" applyBorder="1" applyAlignment="1" applyProtection="1">
      <alignment horizontal="center" vertical="center" wrapText="1"/>
      <protection locked="0"/>
    </xf>
    <xf numFmtId="49" fontId="40" fillId="0" borderId="152" xfId="10" applyNumberFormat="1" applyFont="1" applyFill="1" applyBorder="1" applyAlignment="1" applyProtection="1">
      <alignment horizontal="center" vertical="center" wrapText="1"/>
      <protection locked="0"/>
    </xf>
    <xf numFmtId="49" fontId="40" fillId="14" borderId="152" xfId="10" applyNumberFormat="1" applyFont="1" applyFill="1" applyBorder="1" applyAlignment="1" applyProtection="1">
      <alignment horizontal="center" vertical="center" wrapText="1"/>
      <protection locked="0"/>
    </xf>
    <xf numFmtId="49" fontId="40" fillId="19" borderId="151" xfId="10" applyNumberFormat="1" applyFont="1" applyFill="1" applyBorder="1" applyAlignment="1" applyProtection="1">
      <alignment horizontal="center" vertical="center" wrapText="1"/>
      <protection locked="0"/>
    </xf>
    <xf numFmtId="49" fontId="40" fillId="8" borderId="100" xfId="10" applyNumberFormat="1" applyFont="1" applyFill="1" applyBorder="1" applyAlignment="1" applyProtection="1">
      <alignment horizontal="center" vertical="center" wrapText="1"/>
      <protection locked="0"/>
    </xf>
    <xf numFmtId="49" fontId="40" fillId="8" borderId="155" xfId="10" applyNumberFormat="1" applyFont="1" applyFill="1" applyBorder="1" applyAlignment="1" applyProtection="1">
      <alignment horizontal="center" vertical="center" wrapText="1"/>
      <protection locked="0"/>
    </xf>
    <xf numFmtId="3" fontId="36" fillId="0" borderId="98" xfId="10" applyNumberFormat="1" applyFont="1" applyFill="1" applyBorder="1" applyAlignment="1" applyProtection="1">
      <alignment horizontal="right" vertical="center"/>
      <protection locked="0"/>
    </xf>
    <xf numFmtId="49" fontId="36" fillId="8" borderId="156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157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84" xfId="10" applyNumberFormat="1" applyFont="1" applyFill="1" applyBorder="1" applyAlignment="1" applyProtection="1">
      <alignment horizontal="left" vertical="center" wrapText="1"/>
      <protection locked="0"/>
    </xf>
    <xf numFmtId="3" fontId="36" fillId="0" borderId="158" xfId="10" applyNumberFormat="1" applyFont="1" applyFill="1" applyBorder="1" applyAlignment="1" applyProtection="1">
      <alignment vertical="center"/>
      <protection locked="0"/>
    </xf>
    <xf numFmtId="49" fontId="36" fillId="8" borderId="159" xfId="1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center"/>
    </xf>
    <xf numFmtId="0" fontId="7" fillId="5" borderId="47" xfId="1" applyFont="1" applyFill="1" applyBorder="1" applyAlignment="1">
      <alignment horizontal="left" vertical="center" wrapText="1"/>
    </xf>
    <xf numFmtId="0" fontId="22" fillId="0" borderId="0" xfId="1" applyFont="1" applyBorder="1" applyAlignment="1">
      <alignment horizontal="center" vertical="center" wrapText="1"/>
    </xf>
    <xf numFmtId="0" fontId="18" fillId="0" borderId="0" xfId="1" applyFont="1" applyAlignment="1">
      <alignment horizontal="right" vertical="center" wrapText="1"/>
    </xf>
    <xf numFmtId="0" fontId="47" fillId="0" borderId="129" xfId="1" applyFont="1" applyBorder="1" applyAlignment="1">
      <alignment horizontal="left" vertical="center" wrapText="1"/>
    </xf>
    <xf numFmtId="3" fontId="10" fillId="0" borderId="92" xfId="4" applyNumberFormat="1" applyFont="1" applyBorder="1" applyAlignment="1">
      <alignment vertical="center"/>
    </xf>
    <xf numFmtId="49" fontId="36" fillId="8" borderId="161" xfId="1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>
      <alignment horizontal="center" vertical="center" wrapText="1"/>
    </xf>
    <xf numFmtId="0" fontId="73" fillId="25" borderId="158" xfId="1" applyFont="1" applyFill="1" applyBorder="1" applyAlignment="1">
      <alignment horizontal="center" vertical="center" wrapText="1"/>
    </xf>
    <xf numFmtId="0" fontId="73" fillId="25" borderId="164" xfId="1" applyFont="1" applyFill="1" applyBorder="1" applyAlignment="1">
      <alignment horizontal="center" vertical="center" wrapText="1"/>
    </xf>
    <xf numFmtId="49" fontId="74" fillId="25" borderId="64" xfId="1" applyNumberFormat="1" applyFont="1" applyFill="1" applyBorder="1" applyAlignment="1">
      <alignment horizontal="center" vertical="center"/>
    </xf>
    <xf numFmtId="49" fontId="74" fillId="25" borderId="65" xfId="1" applyNumberFormat="1" applyFont="1" applyFill="1" applyBorder="1" applyAlignment="1">
      <alignment horizontal="center" vertical="center"/>
    </xf>
    <xf numFmtId="0" fontId="19" fillId="25" borderId="65" xfId="1" applyFont="1" applyFill="1" applyBorder="1" applyAlignment="1">
      <alignment horizontal="center" vertical="center"/>
    </xf>
    <xf numFmtId="0" fontId="19" fillId="25" borderId="66" xfId="1" applyFont="1" applyFill="1" applyBorder="1" applyAlignment="1">
      <alignment horizontal="center" vertical="center"/>
    </xf>
    <xf numFmtId="0" fontId="5" fillId="0" borderId="0" xfId="1" applyFill="1"/>
    <xf numFmtId="49" fontId="9" fillId="26" borderId="59" xfId="1" applyNumberFormat="1" applyFont="1" applyFill="1" applyBorder="1" applyAlignment="1">
      <alignment horizontal="center" vertical="center"/>
    </xf>
    <xf numFmtId="3" fontId="15" fillId="26" borderId="36" xfId="1" applyNumberFormat="1" applyFont="1" applyFill="1" applyBorder="1" applyAlignment="1">
      <alignment vertical="center"/>
    </xf>
    <xf numFmtId="3" fontId="15" fillId="26" borderId="38" xfId="1" applyNumberFormat="1" applyFont="1" applyFill="1" applyBorder="1" applyAlignment="1">
      <alignment vertical="center"/>
    </xf>
    <xf numFmtId="0" fontId="5" fillId="0" borderId="0" xfId="1" applyFont="1" applyFill="1"/>
    <xf numFmtId="49" fontId="71" fillId="11" borderId="158" xfId="1" applyNumberFormat="1" applyFont="1" applyFill="1" applyBorder="1" applyAlignment="1">
      <alignment horizontal="center" vertical="center" wrapText="1"/>
    </xf>
    <xf numFmtId="3" fontId="75" fillId="11" borderId="158" xfId="1" applyNumberFormat="1" applyFont="1" applyFill="1" applyBorder="1" applyAlignment="1">
      <alignment vertical="center"/>
    </xf>
    <xf numFmtId="3" fontId="75" fillId="11" borderId="164" xfId="1" applyNumberFormat="1" applyFont="1" applyFill="1" applyBorder="1" applyAlignment="1">
      <alignment vertical="center"/>
    </xf>
    <xf numFmtId="0" fontId="70" fillId="0" borderId="0" xfId="1" applyFont="1" applyFill="1"/>
    <xf numFmtId="0" fontId="70" fillId="0" borderId="0" xfId="1" applyFont="1"/>
    <xf numFmtId="49" fontId="76" fillId="22" borderId="158" xfId="1" applyNumberFormat="1" applyFont="1" applyFill="1" applyBorder="1" applyAlignment="1">
      <alignment horizontal="center" vertical="center" wrapText="1"/>
    </xf>
    <xf numFmtId="3" fontId="77" fillId="22" borderId="158" xfId="1" applyNumberFormat="1" applyFont="1" applyFill="1" applyBorder="1" applyAlignment="1">
      <alignment vertical="center"/>
    </xf>
    <xf numFmtId="3" fontId="77" fillId="22" borderId="164" xfId="1" applyNumberFormat="1" applyFont="1" applyFill="1" applyBorder="1" applyAlignment="1">
      <alignment vertical="center"/>
    </xf>
    <xf numFmtId="0" fontId="16" fillId="0" borderId="158" xfId="1" applyFont="1" applyFill="1" applyBorder="1" applyAlignment="1">
      <alignment horizontal="center" vertical="center"/>
    </xf>
    <xf numFmtId="49" fontId="16" fillId="0" borderId="158" xfId="1" applyNumberFormat="1" applyFont="1" applyFill="1" applyBorder="1" applyAlignment="1">
      <alignment horizontal="center" vertical="center"/>
    </xf>
    <xf numFmtId="3" fontId="16" fillId="0" borderId="158" xfId="1" applyNumberFormat="1" applyFont="1" applyFill="1" applyBorder="1" applyAlignment="1">
      <alignment vertical="center"/>
    </xf>
    <xf numFmtId="3" fontId="16" fillId="0" borderId="164" xfId="1" applyNumberFormat="1" applyFont="1" applyFill="1" applyBorder="1" applyAlignment="1">
      <alignment vertical="center"/>
    </xf>
    <xf numFmtId="49" fontId="76" fillId="22" borderId="158" xfId="1" applyNumberFormat="1" applyFont="1" applyFill="1" applyBorder="1" applyAlignment="1">
      <alignment horizontal="center" vertical="center"/>
    </xf>
    <xf numFmtId="0" fontId="16" fillId="0" borderId="158" xfId="1" applyFont="1" applyFill="1" applyBorder="1" applyAlignment="1">
      <alignment vertical="center"/>
    </xf>
    <xf numFmtId="49" fontId="18" fillId="0" borderId="158" xfId="1" applyNumberFormat="1" applyFont="1" applyFill="1" applyBorder="1" applyAlignment="1">
      <alignment horizontal="center" vertical="center" wrapText="1"/>
    </xf>
    <xf numFmtId="3" fontId="17" fillId="0" borderId="158" xfId="1" applyNumberFormat="1" applyFont="1" applyFill="1" applyBorder="1" applyAlignment="1">
      <alignment vertical="center"/>
    </xf>
    <xf numFmtId="3" fontId="17" fillId="0" borderId="164" xfId="1" applyNumberFormat="1" applyFont="1" applyFill="1" applyBorder="1" applyAlignment="1">
      <alignment vertical="center"/>
    </xf>
    <xf numFmtId="49" fontId="74" fillId="0" borderId="158" xfId="1" applyNumberFormat="1" applyFont="1" applyFill="1" applyBorder="1" applyAlignment="1">
      <alignment horizontal="center" vertical="center"/>
    </xf>
    <xf numFmtId="0" fontId="16" fillId="0" borderId="158" xfId="1" applyFont="1" applyBorder="1" applyAlignment="1">
      <alignment horizontal="center" vertical="center"/>
    </xf>
    <xf numFmtId="49" fontId="71" fillId="11" borderId="167" xfId="1" applyNumberFormat="1" applyFont="1" applyFill="1" applyBorder="1" applyAlignment="1">
      <alignment horizontal="center" vertical="center" wrapText="1"/>
    </xf>
    <xf numFmtId="3" fontId="75" fillId="11" borderId="167" xfId="1" applyNumberFormat="1" applyFont="1" applyFill="1" applyBorder="1" applyAlignment="1">
      <alignment vertical="center"/>
    </xf>
    <xf numFmtId="3" fontId="75" fillId="11" borderId="168" xfId="1" applyNumberFormat="1" applyFont="1" applyFill="1" applyBorder="1" applyAlignment="1">
      <alignment vertical="center"/>
    </xf>
    <xf numFmtId="49" fontId="76" fillId="22" borderId="167" xfId="1" applyNumberFormat="1" applyFont="1" applyFill="1" applyBorder="1" applyAlignment="1">
      <alignment horizontal="center" vertical="center" wrapText="1"/>
    </xf>
    <xf numFmtId="3" fontId="77" fillId="22" borderId="167" xfId="1" applyNumberFormat="1" applyFont="1" applyFill="1" applyBorder="1" applyAlignment="1">
      <alignment vertical="center"/>
    </xf>
    <xf numFmtId="3" fontId="77" fillId="22" borderId="168" xfId="1" applyNumberFormat="1" applyFont="1" applyFill="1" applyBorder="1" applyAlignment="1">
      <alignment vertical="center"/>
    </xf>
    <xf numFmtId="49" fontId="18" fillId="0" borderId="167" xfId="1" applyNumberFormat="1" applyFont="1" applyFill="1" applyBorder="1" applyAlignment="1">
      <alignment horizontal="center" vertical="center" wrapText="1"/>
    </xf>
    <xf numFmtId="3" fontId="17" fillId="0" borderId="167" xfId="1" applyNumberFormat="1" applyFont="1" applyFill="1" applyBorder="1" applyAlignment="1">
      <alignment vertical="center"/>
    </xf>
    <xf numFmtId="3" fontId="17" fillId="0" borderId="168" xfId="1" applyNumberFormat="1" applyFont="1" applyFill="1" applyBorder="1" applyAlignment="1">
      <alignment vertical="center"/>
    </xf>
    <xf numFmtId="49" fontId="16" fillId="0" borderId="167" xfId="1" applyNumberFormat="1" applyFont="1" applyFill="1" applyBorder="1" applyAlignment="1">
      <alignment horizontal="center" vertical="center"/>
    </xf>
    <xf numFmtId="3" fontId="16" fillId="0" borderId="167" xfId="1" applyNumberFormat="1" applyFont="1" applyFill="1" applyBorder="1" applyAlignment="1">
      <alignment vertical="center"/>
    </xf>
    <xf numFmtId="3" fontId="16" fillId="0" borderId="168" xfId="1" applyNumberFormat="1" applyFont="1" applyFill="1" applyBorder="1" applyAlignment="1">
      <alignment vertical="center"/>
    </xf>
    <xf numFmtId="49" fontId="76" fillId="22" borderId="167" xfId="1" applyNumberFormat="1" applyFont="1" applyFill="1" applyBorder="1" applyAlignment="1">
      <alignment horizontal="center" vertical="center"/>
    </xf>
    <xf numFmtId="49" fontId="16" fillId="0" borderId="33" xfId="1" applyNumberFormat="1" applyFont="1" applyFill="1" applyBorder="1" applyAlignment="1">
      <alignment vertical="center"/>
    </xf>
    <xf numFmtId="0" fontId="17" fillId="0" borderId="43" xfId="1" applyFont="1" applyFill="1" applyBorder="1" applyAlignment="1">
      <alignment vertical="center" wrapText="1"/>
    </xf>
    <xf numFmtId="0" fontId="16" fillId="0" borderId="43" xfId="1" applyFont="1" applyFill="1" applyBorder="1" applyAlignment="1">
      <alignment vertical="center"/>
    </xf>
    <xf numFmtId="49" fontId="16" fillId="0" borderId="43" xfId="1" applyNumberFormat="1" applyFont="1" applyFill="1" applyBorder="1" applyAlignment="1">
      <alignment vertical="center"/>
    </xf>
    <xf numFmtId="49" fontId="16" fillId="0" borderId="32" xfId="1" applyNumberFormat="1" applyFont="1" applyFill="1" applyBorder="1" applyAlignment="1">
      <alignment vertical="center"/>
    </xf>
    <xf numFmtId="0" fontId="17" fillId="0" borderId="92" xfId="1" applyFont="1" applyFill="1" applyBorder="1" applyAlignment="1">
      <alignment vertical="center" wrapText="1"/>
    </xf>
    <xf numFmtId="0" fontId="16" fillId="0" borderId="92" xfId="1" applyFont="1" applyFill="1" applyBorder="1" applyAlignment="1">
      <alignment vertical="center"/>
    </xf>
    <xf numFmtId="49" fontId="16" fillId="0" borderId="92" xfId="1" applyNumberFormat="1" applyFont="1" applyFill="1" applyBorder="1" applyAlignment="1">
      <alignment vertical="center"/>
    </xf>
    <xf numFmtId="0" fontId="16" fillId="0" borderId="167" xfId="1" applyFont="1" applyBorder="1" applyAlignment="1">
      <alignment horizontal="center" vertical="center"/>
    </xf>
    <xf numFmtId="49" fontId="16" fillId="0" borderId="167" xfId="1" applyNumberFormat="1" applyFont="1" applyFill="1" applyBorder="1" applyAlignment="1">
      <alignment horizontal="center" vertical="center" wrapText="1"/>
    </xf>
    <xf numFmtId="0" fontId="16" fillId="0" borderId="166" xfId="1" applyFont="1" applyBorder="1" applyAlignment="1">
      <alignment horizontal="center" vertical="center"/>
    </xf>
    <xf numFmtId="3" fontId="16" fillId="0" borderId="166" xfId="1" applyNumberFormat="1" applyFont="1" applyFill="1" applyBorder="1" applyAlignment="1">
      <alignment vertical="center"/>
    </xf>
    <xf numFmtId="3" fontId="16" fillId="0" borderId="170" xfId="1" applyNumberFormat="1" applyFont="1" applyFill="1" applyBorder="1" applyAlignment="1">
      <alignment vertical="center"/>
    </xf>
    <xf numFmtId="3" fontId="9" fillId="26" borderId="36" xfId="1" applyNumberFormat="1" applyFont="1" applyFill="1" applyBorder="1" applyAlignment="1">
      <alignment vertical="center"/>
    </xf>
    <xf numFmtId="3" fontId="9" fillId="26" borderId="38" xfId="1" applyNumberFormat="1" applyFont="1" applyFill="1" applyBorder="1" applyAlignment="1">
      <alignment vertical="center"/>
    </xf>
    <xf numFmtId="49" fontId="16" fillId="0" borderId="92" xfId="1" applyNumberFormat="1" applyFont="1" applyFill="1" applyBorder="1" applyAlignment="1">
      <alignment horizontal="center" vertical="center"/>
    </xf>
    <xf numFmtId="0" fontId="16" fillId="0" borderId="92" xfId="1" applyFont="1" applyBorder="1" applyAlignment="1">
      <alignment horizontal="center" vertical="center"/>
    </xf>
    <xf numFmtId="3" fontId="16" fillId="0" borderId="92" xfId="1" applyNumberFormat="1" applyFont="1" applyFill="1" applyBorder="1" applyAlignment="1">
      <alignment vertical="center"/>
    </xf>
    <xf numFmtId="3" fontId="16" fillId="0" borderId="139" xfId="1" applyNumberFormat="1" applyFont="1" applyFill="1" applyBorder="1" applyAlignment="1">
      <alignment vertical="center"/>
    </xf>
    <xf numFmtId="0" fontId="16" fillId="0" borderId="167" xfId="1" applyFont="1" applyFill="1" applyBorder="1" applyAlignment="1">
      <alignment horizontal="center" vertical="center"/>
    </xf>
    <xf numFmtId="0" fontId="60" fillId="0" borderId="0" xfId="1" applyFont="1" applyBorder="1"/>
    <xf numFmtId="0" fontId="60" fillId="0" borderId="0" xfId="1" applyFont="1"/>
    <xf numFmtId="3" fontId="60" fillId="0" borderId="0" xfId="1" applyNumberFormat="1" applyFont="1" applyBorder="1"/>
    <xf numFmtId="3" fontId="5" fillId="0" borderId="0" xfId="1" applyNumberFormat="1" applyBorder="1"/>
    <xf numFmtId="0" fontId="12" fillId="0" borderId="0" xfId="1" applyFont="1" applyBorder="1"/>
    <xf numFmtId="49" fontId="76" fillId="0" borderId="167" xfId="1" applyNumberFormat="1" applyFont="1" applyFill="1" applyBorder="1" applyAlignment="1">
      <alignment horizontal="center" vertical="center"/>
    </xf>
    <xf numFmtId="3" fontId="77" fillId="0" borderId="167" xfId="1" applyNumberFormat="1" applyFont="1" applyFill="1" applyBorder="1" applyAlignment="1">
      <alignment vertical="center"/>
    </xf>
    <xf numFmtId="3" fontId="77" fillId="0" borderId="164" xfId="1" applyNumberFormat="1" applyFont="1" applyFill="1" applyBorder="1" applyAlignment="1">
      <alignment vertical="center"/>
    </xf>
    <xf numFmtId="3" fontId="15" fillId="25" borderId="36" xfId="1" applyNumberFormat="1" applyFont="1" applyFill="1" applyBorder="1" applyAlignment="1">
      <alignment vertical="center"/>
    </xf>
    <xf numFmtId="3" fontId="15" fillId="25" borderId="38" xfId="1" applyNumberFormat="1" applyFont="1" applyFill="1" applyBorder="1" applyAlignment="1">
      <alignment vertical="center"/>
    </xf>
    <xf numFmtId="0" fontId="15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5" fillId="0" borderId="0" xfId="1" applyAlignment="1">
      <alignment horizontal="right"/>
    </xf>
    <xf numFmtId="0" fontId="61" fillId="0" borderId="0" xfId="1" applyFont="1" applyAlignment="1">
      <alignment horizontal="right"/>
    </xf>
    <xf numFmtId="0" fontId="78" fillId="0" borderId="0" xfId="1" applyFont="1" applyAlignment="1">
      <alignment horizontal="right"/>
    </xf>
    <xf numFmtId="3" fontId="12" fillId="0" borderId="0" xfId="1" applyNumberFormat="1" applyFont="1"/>
    <xf numFmtId="0" fontId="12" fillId="0" borderId="0" xfId="1" applyFont="1" applyAlignment="1">
      <alignment horizontal="right"/>
    </xf>
    <xf numFmtId="0" fontId="73" fillId="25" borderId="167" xfId="1" applyFont="1" applyFill="1" applyBorder="1" applyAlignment="1">
      <alignment horizontal="center" vertical="center" wrapText="1"/>
    </xf>
    <xf numFmtId="49" fontId="74" fillId="25" borderId="165" xfId="1" applyNumberFormat="1" applyFont="1" applyFill="1" applyBorder="1" applyAlignment="1">
      <alignment horizontal="center" vertical="center"/>
    </xf>
    <xf numFmtId="49" fontId="74" fillId="25" borderId="166" xfId="1" applyNumberFormat="1" applyFont="1" applyFill="1" applyBorder="1" applyAlignment="1">
      <alignment horizontal="center" vertical="center"/>
    </xf>
    <xf numFmtId="0" fontId="19" fillId="25" borderId="166" xfId="1" applyFont="1" applyFill="1" applyBorder="1" applyAlignment="1">
      <alignment horizontal="center" vertical="center"/>
    </xf>
    <xf numFmtId="0" fontId="19" fillId="25" borderId="170" xfId="1" applyFont="1" applyFill="1" applyBorder="1" applyAlignment="1">
      <alignment horizontal="center" vertical="center"/>
    </xf>
    <xf numFmtId="49" fontId="16" fillId="0" borderId="163" xfId="1" applyNumberFormat="1" applyFont="1" applyFill="1" applyBorder="1" applyAlignment="1">
      <alignment vertical="center"/>
    </xf>
    <xf numFmtId="0" fontId="17" fillId="0" borderId="167" xfId="1" applyFont="1" applyFill="1" applyBorder="1" applyAlignment="1">
      <alignment vertical="center" wrapText="1"/>
    </xf>
    <xf numFmtId="49" fontId="16" fillId="0" borderId="167" xfId="1" applyNumberFormat="1" applyFont="1" applyFill="1" applyBorder="1" applyAlignment="1">
      <alignment vertical="center"/>
    </xf>
    <xf numFmtId="0" fontId="16" fillId="0" borderId="65" xfId="1" applyFont="1" applyBorder="1" applyAlignment="1">
      <alignment horizontal="center" vertical="center"/>
    </xf>
    <xf numFmtId="3" fontId="16" fillId="0" borderId="65" xfId="1" applyNumberFormat="1" applyFont="1" applyFill="1" applyBorder="1" applyAlignment="1">
      <alignment vertical="center"/>
    </xf>
    <xf numFmtId="3" fontId="16" fillId="0" borderId="66" xfId="1" applyNumberFormat="1" applyFont="1" applyFill="1" applyBorder="1" applyAlignment="1">
      <alignment vertical="center"/>
    </xf>
    <xf numFmtId="49" fontId="71" fillId="11" borderId="92" xfId="1" applyNumberFormat="1" applyFont="1" applyFill="1" applyBorder="1" applyAlignment="1">
      <alignment horizontal="center" vertical="center" wrapText="1"/>
    </xf>
    <xf numFmtId="3" fontId="75" fillId="11" borderId="92" xfId="1" applyNumberFormat="1" applyFont="1" applyFill="1" applyBorder="1" applyAlignment="1">
      <alignment vertical="center"/>
    </xf>
    <xf numFmtId="3" fontId="75" fillId="11" borderId="139" xfId="1" applyNumberFormat="1" applyFont="1" applyFill="1" applyBorder="1" applyAlignment="1">
      <alignment vertical="center"/>
    </xf>
    <xf numFmtId="49" fontId="9" fillId="26" borderId="48" xfId="1" applyNumberFormat="1" applyFont="1" applyFill="1" applyBorder="1" applyAlignment="1">
      <alignment horizontal="center" vertical="center"/>
    </xf>
    <xf numFmtId="3" fontId="9" fillId="26" borderId="47" xfId="1" applyNumberFormat="1" applyFont="1" applyFill="1" applyBorder="1" applyAlignment="1">
      <alignment vertical="center"/>
    </xf>
    <xf numFmtId="3" fontId="9" fillId="26" borderId="8" xfId="1" applyNumberFormat="1" applyFont="1" applyFill="1" applyBorder="1" applyAlignment="1">
      <alignment vertical="center"/>
    </xf>
    <xf numFmtId="49" fontId="16" fillId="0" borderId="166" xfId="1" applyNumberFormat="1" applyFont="1" applyFill="1" applyBorder="1" applyAlignment="1">
      <alignment horizontal="center" vertical="center"/>
    </xf>
    <xf numFmtId="49" fontId="9" fillId="26" borderId="32" xfId="1" applyNumberFormat="1" applyFont="1" applyFill="1" applyBorder="1" applyAlignment="1">
      <alignment horizontal="center" vertical="center"/>
    </xf>
    <xf numFmtId="3" fontId="9" fillId="26" borderId="92" xfId="1" applyNumberFormat="1" applyFont="1" applyFill="1" applyBorder="1" applyAlignment="1">
      <alignment vertical="center"/>
    </xf>
    <xf numFmtId="3" fontId="9" fillId="26" borderId="139" xfId="1" applyNumberFormat="1" applyFont="1" applyFill="1" applyBorder="1" applyAlignment="1">
      <alignment vertical="center"/>
    </xf>
    <xf numFmtId="3" fontId="5" fillId="0" borderId="0" xfId="1" applyNumberFormat="1" applyFont="1" applyFill="1"/>
    <xf numFmtId="3" fontId="61" fillId="0" borderId="0" xfId="1" applyNumberFormat="1" applyFont="1"/>
    <xf numFmtId="3" fontId="78" fillId="0" borderId="0" xfId="1" applyNumberFormat="1" applyFont="1"/>
    <xf numFmtId="0" fontId="5" fillId="0" borderId="0" xfId="1" applyFont="1" applyAlignment="1">
      <alignment horizontal="left"/>
    </xf>
    <xf numFmtId="0" fontId="15" fillId="4" borderId="167" xfId="1" applyFont="1" applyFill="1" applyBorder="1" applyAlignment="1">
      <alignment horizontal="center" vertical="center"/>
    </xf>
    <xf numFmtId="0" fontId="7" fillId="0" borderId="166" xfId="1" applyFont="1" applyBorder="1" applyAlignment="1">
      <alignment horizontal="center" vertical="center"/>
    </xf>
    <xf numFmtId="0" fontId="7" fillId="0" borderId="167" xfId="1" applyFont="1" applyBorder="1" applyAlignment="1">
      <alignment horizontal="center" vertical="center"/>
    </xf>
    <xf numFmtId="3" fontId="7" fillId="0" borderId="167" xfId="1" applyNumberFormat="1" applyFont="1" applyBorder="1" applyAlignment="1">
      <alignment horizontal="right" vertical="center"/>
    </xf>
    <xf numFmtId="3" fontId="7" fillId="0" borderId="167" xfId="1" applyNumberFormat="1" applyFont="1" applyBorder="1" applyAlignment="1">
      <alignment vertical="center" wrapText="1"/>
    </xf>
    <xf numFmtId="3" fontId="5" fillId="0" borderId="0" xfId="1" applyNumberFormat="1" applyFont="1"/>
    <xf numFmtId="3" fontId="5" fillId="0" borderId="0" xfId="1" applyNumberFormat="1" applyFont="1" applyBorder="1"/>
    <xf numFmtId="3" fontId="7" fillId="17" borderId="0" xfId="1" applyNumberFormat="1" applyFont="1" applyFill="1" applyBorder="1" applyAlignment="1">
      <alignment vertical="center" wrapText="1"/>
    </xf>
    <xf numFmtId="3" fontId="5" fillId="0" borderId="167" xfId="1" applyNumberFormat="1" applyFont="1" applyFill="1" applyBorder="1" applyAlignment="1">
      <alignment vertical="center"/>
    </xf>
    <xf numFmtId="3" fontId="7" fillId="0" borderId="167" xfId="1" applyNumberFormat="1" applyFont="1" applyFill="1" applyBorder="1" applyAlignment="1">
      <alignment vertical="center" wrapText="1"/>
    </xf>
    <xf numFmtId="0" fontId="5" fillId="0" borderId="167" xfId="1" applyFont="1" applyBorder="1"/>
    <xf numFmtId="0" fontId="7" fillId="0" borderId="163" xfId="1" applyFont="1" applyBorder="1" applyAlignment="1">
      <alignment horizontal="center" vertical="center"/>
    </xf>
    <xf numFmtId="3" fontId="5" fillId="0" borderId="0" xfId="1" applyNumberFormat="1" applyFont="1" applyAlignment="1">
      <alignment horizontal="right"/>
    </xf>
    <xf numFmtId="1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left"/>
    </xf>
    <xf numFmtId="3" fontId="5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3" fontId="15" fillId="4" borderId="65" xfId="1" applyNumberFormat="1" applyFont="1" applyFill="1" applyBorder="1" applyAlignment="1">
      <alignment horizontal="right" vertical="center"/>
    </xf>
    <xf numFmtId="3" fontId="15" fillId="4" borderId="66" xfId="1" applyNumberFormat="1" applyFont="1" applyFill="1" applyBorder="1" applyAlignment="1">
      <alignment vertical="center"/>
    </xf>
    <xf numFmtId="3" fontId="5" fillId="0" borderId="0" xfId="1" applyNumberFormat="1" applyAlignment="1">
      <alignment horizontal="center"/>
    </xf>
    <xf numFmtId="1" fontId="5" fillId="0" borderId="0" xfId="1" applyNumberFormat="1" applyAlignment="1">
      <alignment horizontal="center"/>
    </xf>
    <xf numFmtId="3" fontId="5" fillId="0" borderId="0" xfId="1" applyNumberFormat="1" applyAlignment="1">
      <alignment horizontal="right"/>
    </xf>
    <xf numFmtId="1" fontId="5" fillId="0" borderId="0" xfId="1" applyNumberFormat="1" applyAlignment="1">
      <alignment horizontal="right"/>
    </xf>
    <xf numFmtId="3" fontId="12" fillId="0" borderId="0" xfId="1" applyNumberFormat="1" applyFont="1" applyAlignment="1">
      <alignment horizontal="right"/>
    </xf>
    <xf numFmtId="3" fontId="5" fillId="0" borderId="0" xfId="1" applyNumberFormat="1" applyFont="1" applyBorder="1" applyAlignment="1"/>
    <xf numFmtId="3" fontId="5" fillId="0" borderId="0" xfId="1" applyNumberFormat="1" applyAlignment="1"/>
    <xf numFmtId="0" fontId="61" fillId="0" borderId="0" xfId="1" applyFont="1" applyFill="1" applyBorder="1"/>
    <xf numFmtId="3" fontId="5" fillId="0" borderId="0" xfId="1" applyNumberFormat="1" applyBorder="1" applyAlignment="1"/>
    <xf numFmtId="0" fontId="61" fillId="0" borderId="0" xfId="1" applyFont="1" applyFill="1"/>
    <xf numFmtId="0" fontId="61" fillId="0" borderId="0" xfId="1" applyFont="1" applyBorder="1"/>
    <xf numFmtId="0" fontId="61" fillId="0" borderId="0" xfId="1" applyFont="1"/>
    <xf numFmtId="0" fontId="61" fillId="0" borderId="0" xfId="1" applyFont="1" applyBorder="1" applyAlignment="1">
      <alignment horizontal="right"/>
    </xf>
    <xf numFmtId="3" fontId="61" fillId="0" borderId="0" xfId="1" applyNumberFormat="1" applyFont="1" applyBorder="1"/>
    <xf numFmtId="0" fontId="5" fillId="0" borderId="0" xfId="1" applyFont="1" applyBorder="1"/>
    <xf numFmtId="3" fontId="12" fillId="0" borderId="0" xfId="1" applyNumberFormat="1" applyFont="1" applyAlignment="1"/>
    <xf numFmtId="3" fontId="5" fillId="0" borderId="0" xfId="1" applyNumberFormat="1" applyBorder="1" applyAlignment="1">
      <alignment horizontal="right"/>
    </xf>
    <xf numFmtId="0" fontId="7" fillId="0" borderId="33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3" fontId="7" fillId="0" borderId="166" xfId="1" applyNumberFormat="1" applyFont="1" applyFill="1" applyBorder="1" applyAlignment="1">
      <alignment horizontal="right" vertical="center" wrapText="1"/>
    </xf>
    <xf numFmtId="3" fontId="7" fillId="0" borderId="166" xfId="1" applyNumberFormat="1" applyFont="1" applyFill="1" applyBorder="1" applyAlignment="1">
      <alignment horizontal="right" vertical="center"/>
    </xf>
    <xf numFmtId="0" fontId="7" fillId="0" borderId="163" xfId="1" applyFont="1" applyFill="1" applyBorder="1" applyAlignment="1">
      <alignment horizontal="center" vertical="center"/>
    </xf>
    <xf numFmtId="0" fontId="7" fillId="0" borderId="167" xfId="1" applyFont="1" applyFill="1" applyBorder="1" applyAlignment="1">
      <alignment horizontal="center" vertical="center"/>
    </xf>
    <xf numFmtId="3" fontId="7" fillId="0" borderId="167" xfId="1" applyNumberFormat="1" applyFont="1" applyFill="1" applyBorder="1" applyAlignment="1">
      <alignment horizontal="right" vertical="center"/>
    </xf>
    <xf numFmtId="3" fontId="7" fillId="0" borderId="167" xfId="1" applyNumberFormat="1" applyFont="1" applyBorder="1" applyAlignment="1">
      <alignment horizontal="right" vertical="center" wrapText="1"/>
    </xf>
    <xf numFmtId="3" fontId="79" fillId="0" borderId="0" xfId="1" applyNumberFormat="1" applyFont="1"/>
    <xf numFmtId="3" fontId="62" fillId="0" borderId="0" xfId="1" applyNumberFormat="1" applyFont="1"/>
    <xf numFmtId="0" fontId="62" fillId="0" borderId="0" xfId="1" applyFont="1"/>
    <xf numFmtId="3" fontId="60" fillId="0" borderId="0" xfId="1" applyNumberFormat="1" applyFont="1"/>
    <xf numFmtId="0" fontId="7" fillId="0" borderId="92" xfId="1" applyFont="1" applyBorder="1" applyAlignment="1">
      <alignment horizontal="center" vertical="center"/>
    </xf>
    <xf numFmtId="3" fontId="60" fillId="0" borderId="0" xfId="1" applyNumberFormat="1" applyFont="1" applyAlignment="1">
      <alignment horizontal="right"/>
    </xf>
    <xf numFmtId="3" fontId="15" fillId="4" borderId="137" xfId="1" applyNumberFormat="1" applyFont="1" applyFill="1" applyBorder="1" applyAlignment="1">
      <alignment horizontal="right" vertical="center"/>
    </xf>
    <xf numFmtId="3" fontId="5" fillId="0" borderId="0" xfId="1" applyNumberFormat="1" applyFont="1" applyBorder="1" applyAlignment="1">
      <alignment horizontal="right"/>
    </xf>
    <xf numFmtId="3" fontId="61" fillId="0" borderId="0" xfId="1" applyNumberFormat="1" applyFont="1" applyAlignment="1">
      <alignment vertical="center"/>
    </xf>
    <xf numFmtId="3" fontId="5" fillId="0" borderId="0" xfId="1" applyNumberFormat="1" applyAlignment="1">
      <alignment vertical="center"/>
    </xf>
    <xf numFmtId="3" fontId="7" fillId="0" borderId="166" xfId="1" applyNumberFormat="1" applyFont="1" applyBorder="1" applyAlignment="1">
      <alignment horizontal="right" vertical="center"/>
    </xf>
    <xf numFmtId="3" fontId="7" fillId="0" borderId="166" xfId="1" applyNumberFormat="1" applyFont="1" applyBorder="1" applyAlignment="1">
      <alignment horizontal="right" vertical="center" wrapText="1"/>
    </xf>
    <xf numFmtId="3" fontId="7" fillId="0" borderId="164" xfId="1" applyNumberFormat="1" applyFont="1" applyBorder="1" applyAlignment="1">
      <alignment horizontal="left" vertical="center" wrapText="1"/>
    </xf>
    <xf numFmtId="0" fontId="5" fillId="0" borderId="0" xfId="1" applyAlignment="1"/>
    <xf numFmtId="3" fontId="60" fillId="0" borderId="0" xfId="1" applyNumberFormat="1" applyFont="1" applyAlignment="1">
      <alignment horizontal="center"/>
    </xf>
    <xf numFmtId="0" fontId="13" fillId="4" borderId="7" xfId="1" applyFont="1" applyFill="1" applyBorder="1" applyAlignment="1">
      <alignment horizontal="center" vertical="center"/>
    </xf>
    <xf numFmtId="3" fontId="13" fillId="4" borderId="17" xfId="4" applyNumberFormat="1" applyFont="1" applyFill="1" applyBorder="1" applyAlignment="1">
      <alignment vertical="center"/>
    </xf>
    <xf numFmtId="0" fontId="80" fillId="0" borderId="0" xfId="1" applyFont="1"/>
    <xf numFmtId="3" fontId="7" fillId="0" borderId="11" xfId="1" applyNumberFormat="1" applyFont="1" applyFill="1" applyBorder="1" applyAlignment="1">
      <alignment horizontal="right" vertical="center"/>
    </xf>
    <xf numFmtId="0" fontId="7" fillId="0" borderId="133" xfId="1" applyFont="1" applyFill="1" applyBorder="1" applyAlignment="1">
      <alignment horizontal="left" vertical="center" wrapText="1"/>
    </xf>
    <xf numFmtId="0" fontId="14" fillId="0" borderId="32" xfId="4" applyFont="1" applyBorder="1" applyAlignment="1">
      <alignment horizontal="center" vertical="center"/>
    </xf>
    <xf numFmtId="3" fontId="10" fillId="0" borderId="47" xfId="4" applyNumberFormat="1" applyFont="1" applyBorder="1" applyAlignment="1">
      <alignment vertical="center"/>
    </xf>
    <xf numFmtId="0" fontId="10" fillId="0" borderId="92" xfId="4" applyFont="1" applyBorder="1" applyAlignment="1">
      <alignment vertical="center" wrapText="1"/>
    </xf>
    <xf numFmtId="0" fontId="10" fillId="0" borderId="92" xfId="4" applyNumberFormat="1" applyFont="1" applyBorder="1" applyAlignment="1">
      <alignment horizontal="center" vertical="center"/>
    </xf>
    <xf numFmtId="0" fontId="10" fillId="5" borderId="139" xfId="4" applyFont="1" applyFill="1" applyBorder="1" applyAlignment="1">
      <alignment vertical="center" wrapText="1"/>
    </xf>
    <xf numFmtId="0" fontId="14" fillId="0" borderId="169" xfId="4" applyFont="1" applyBorder="1" applyAlignment="1">
      <alignment horizontal="center" vertical="center"/>
    </xf>
    <xf numFmtId="0" fontId="10" fillId="0" borderId="92" xfId="4" applyFont="1" applyBorder="1" applyAlignment="1">
      <alignment horizontal="left" vertical="center" wrapText="1"/>
    </xf>
    <xf numFmtId="0" fontId="10" fillId="0" borderId="167" xfId="4" applyNumberFormat="1" applyFont="1" applyBorder="1" applyAlignment="1">
      <alignment horizontal="center" vertical="center"/>
    </xf>
    <xf numFmtId="3" fontId="10" fillId="0" borderId="167" xfId="4" applyNumberFormat="1" applyFont="1" applyBorder="1" applyAlignment="1">
      <alignment vertical="center"/>
    </xf>
    <xf numFmtId="3" fontId="10" fillId="0" borderId="167" xfId="4" applyNumberFormat="1" applyFont="1" applyBorder="1" applyAlignment="1">
      <alignment horizontal="right" vertical="center"/>
    </xf>
    <xf numFmtId="0" fontId="10" fillId="5" borderId="168" xfId="4" applyFont="1" applyFill="1" applyBorder="1" applyAlignment="1">
      <alignment vertical="center" wrapText="1"/>
    </xf>
    <xf numFmtId="0" fontId="10" fillId="0" borderId="167" xfId="4" applyFont="1" applyBorder="1" applyAlignment="1">
      <alignment horizontal="left" vertical="center" wrapText="1"/>
    </xf>
    <xf numFmtId="0" fontId="5" fillId="0" borderId="0" xfId="1" applyBorder="1" applyAlignment="1">
      <alignment wrapText="1"/>
    </xf>
    <xf numFmtId="0" fontId="14" fillId="0" borderId="64" xfId="4" applyFont="1" applyBorder="1" applyAlignment="1">
      <alignment horizontal="center" vertical="center"/>
    </xf>
    <xf numFmtId="0" fontId="10" fillId="0" borderId="65" xfId="4" applyFont="1" applyBorder="1" applyAlignment="1">
      <alignment horizontal="left" vertical="center" wrapText="1"/>
    </xf>
    <xf numFmtId="0" fontId="14" fillId="0" borderId="65" xfId="4" applyFont="1" applyBorder="1" applyAlignment="1">
      <alignment horizontal="center" vertical="center"/>
    </xf>
    <xf numFmtId="3" fontId="14" fillId="0" borderId="65" xfId="4" applyNumberFormat="1" applyFont="1" applyBorder="1" applyAlignment="1">
      <alignment vertical="center"/>
    </xf>
    <xf numFmtId="0" fontId="10" fillId="0" borderId="65" xfId="4" applyNumberFormat="1" applyFont="1" applyBorder="1" applyAlignment="1">
      <alignment horizontal="center" vertical="center"/>
    </xf>
    <xf numFmtId="3" fontId="10" fillId="0" borderId="65" xfId="4" applyNumberFormat="1" applyFont="1" applyBorder="1" applyAlignment="1">
      <alignment horizontal="right" vertical="center"/>
    </xf>
    <xf numFmtId="0" fontId="10" fillId="5" borderId="66" xfId="4" applyFont="1" applyFill="1" applyBorder="1" applyAlignment="1">
      <alignment vertical="center" wrapText="1"/>
    </xf>
    <xf numFmtId="49" fontId="36" fillId="8" borderId="175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176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101" xfId="1" applyFont="1" applyBorder="1" applyAlignment="1">
      <alignment horizontal="center" vertical="center"/>
    </xf>
    <xf numFmtId="0" fontId="5" fillId="0" borderId="107" xfId="1" applyFont="1" applyBorder="1" applyAlignment="1">
      <alignment horizontal="center" vertical="center"/>
    </xf>
    <xf numFmtId="0" fontId="5" fillId="0" borderId="102" xfId="1" applyFont="1" applyBorder="1" applyAlignment="1">
      <alignment horizontal="center" vertical="center"/>
    </xf>
    <xf numFmtId="0" fontId="13" fillId="3" borderId="14" xfId="1" applyFont="1" applyFill="1" applyBorder="1" applyAlignment="1">
      <alignment horizontal="center" vertical="center" wrapText="1"/>
    </xf>
    <xf numFmtId="0" fontId="13" fillId="3" borderId="18" xfId="1" applyFont="1" applyFill="1" applyBorder="1" applyAlignment="1">
      <alignment horizontal="center" vertical="center" wrapText="1"/>
    </xf>
    <xf numFmtId="0" fontId="60" fillId="4" borderId="125" xfId="1" applyFont="1" applyFill="1" applyBorder="1" applyAlignment="1">
      <alignment horizontal="left" vertical="center"/>
    </xf>
    <xf numFmtId="0" fontId="60" fillId="4" borderId="126" xfId="1" applyFont="1" applyFill="1" applyBorder="1" applyAlignment="1">
      <alignment horizontal="left" vertical="center"/>
    </xf>
    <xf numFmtId="0" fontId="60" fillId="4" borderId="130" xfId="1" applyFont="1" applyFill="1" applyBorder="1" applyAlignment="1">
      <alignment horizontal="left" vertical="center"/>
    </xf>
    <xf numFmtId="0" fontId="60" fillId="4" borderId="132" xfId="1" applyFont="1" applyFill="1" applyBorder="1" applyAlignment="1">
      <alignment horizontal="left" vertical="center"/>
    </xf>
    <xf numFmtId="0" fontId="60" fillId="4" borderId="107" xfId="1" applyFont="1" applyFill="1" applyBorder="1" applyAlignment="1">
      <alignment horizontal="left" vertical="center"/>
    </xf>
    <xf numFmtId="0" fontId="60" fillId="4" borderId="133" xfId="1" applyFont="1" applyFill="1" applyBorder="1" applyAlignment="1">
      <alignment horizontal="left" vertical="center"/>
    </xf>
    <xf numFmtId="0" fontId="60" fillId="4" borderId="127" xfId="1" applyFont="1" applyFill="1" applyBorder="1" applyAlignment="1">
      <alignment horizontal="left" vertical="center"/>
    </xf>
    <xf numFmtId="0" fontId="60" fillId="4" borderId="128" xfId="1" applyFont="1" applyFill="1" applyBorder="1" applyAlignment="1">
      <alignment horizontal="left" vertical="center"/>
    </xf>
    <xf numFmtId="0" fontId="60" fillId="4" borderId="134" xfId="1" applyFont="1" applyFill="1" applyBorder="1" applyAlignment="1">
      <alignment horizontal="left" vertical="center"/>
    </xf>
    <xf numFmtId="0" fontId="12" fillId="17" borderId="81" xfId="1" applyFont="1" applyFill="1" applyBorder="1" applyAlignment="1">
      <alignment horizontal="center" vertical="center"/>
    </xf>
    <xf numFmtId="0" fontId="12" fillId="17" borderId="101" xfId="1" applyFont="1" applyFill="1" applyBorder="1" applyAlignment="1">
      <alignment horizontal="center" vertical="center"/>
    </xf>
    <xf numFmtId="0" fontId="12" fillId="17" borderId="107" xfId="1" applyFont="1" applyFill="1" applyBorder="1" applyAlignment="1">
      <alignment horizontal="center" vertical="center"/>
    </xf>
    <xf numFmtId="0" fontId="12" fillId="17" borderId="102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 wrapText="1"/>
    </xf>
    <xf numFmtId="0" fontId="56" fillId="22" borderId="124" xfId="1" applyFont="1" applyFill="1" applyBorder="1" applyAlignment="1">
      <alignment horizontal="left" vertical="center" wrapText="1"/>
    </xf>
    <xf numFmtId="0" fontId="56" fillId="5" borderId="23" xfId="1" applyFont="1" applyFill="1" applyBorder="1" applyAlignment="1">
      <alignment horizontal="center" vertical="center" wrapText="1"/>
    </xf>
    <xf numFmtId="0" fontId="56" fillId="5" borderId="24" xfId="1" applyFont="1" applyFill="1" applyBorder="1" applyAlignment="1">
      <alignment horizontal="center" vertical="center" wrapText="1"/>
    </xf>
    <xf numFmtId="0" fontId="56" fillId="22" borderId="3" xfId="1" applyFont="1" applyFill="1" applyBorder="1" applyAlignment="1">
      <alignment horizontal="left" vertical="center" wrapText="1"/>
    </xf>
    <xf numFmtId="0" fontId="50" fillId="5" borderId="26" xfId="1" applyFont="1" applyFill="1" applyBorder="1" applyAlignment="1">
      <alignment horizontal="center" vertical="center" wrapText="1"/>
    </xf>
    <xf numFmtId="0" fontId="50" fillId="5" borderId="23" xfId="1" applyFont="1" applyFill="1" applyBorder="1" applyAlignment="1">
      <alignment horizontal="center" vertical="center" wrapText="1"/>
    </xf>
    <xf numFmtId="0" fontId="50" fillId="5" borderId="19" xfId="1" applyFont="1" applyFill="1" applyBorder="1" applyAlignment="1">
      <alignment horizontal="center" vertical="center" wrapText="1"/>
    </xf>
    <xf numFmtId="0" fontId="56" fillId="22" borderId="127" xfId="1" applyFont="1" applyFill="1" applyBorder="1" applyAlignment="1">
      <alignment horizontal="left" vertical="center" wrapText="1"/>
    </xf>
    <xf numFmtId="0" fontId="56" fillId="22" borderId="128" xfId="1" applyFont="1" applyFill="1" applyBorder="1" applyAlignment="1">
      <alignment horizontal="left" vertical="center" wrapText="1"/>
    </xf>
    <xf numFmtId="0" fontId="50" fillId="0" borderId="23" xfId="1" applyFont="1" applyFill="1" applyBorder="1" applyAlignment="1">
      <alignment horizontal="center" vertical="center" wrapText="1"/>
    </xf>
    <xf numFmtId="0" fontId="56" fillId="22" borderId="0" xfId="1" applyFont="1" applyFill="1" applyBorder="1" applyAlignment="1">
      <alignment horizontal="left" vertical="center" wrapText="1"/>
    </xf>
    <xf numFmtId="0" fontId="47" fillId="5" borderId="23" xfId="1" applyFont="1" applyFill="1" applyBorder="1" applyAlignment="1">
      <alignment horizontal="center" vertical="center" wrapText="1"/>
    </xf>
    <xf numFmtId="0" fontId="57" fillId="5" borderId="133" xfId="1" applyFont="1" applyFill="1" applyBorder="1" applyAlignment="1">
      <alignment horizontal="center" vertical="center" wrapText="1"/>
    </xf>
    <xf numFmtId="49" fontId="10" fillId="5" borderId="136" xfId="1" applyNumberFormat="1" applyFont="1" applyFill="1" applyBorder="1" applyAlignment="1">
      <alignment horizontal="center" vertical="center" wrapText="1"/>
    </xf>
    <xf numFmtId="49" fontId="10" fillId="5" borderId="25" xfId="1" applyNumberFormat="1" applyFont="1" applyFill="1" applyBorder="1" applyAlignment="1">
      <alignment horizontal="center" vertical="center" wrapText="1"/>
    </xf>
    <xf numFmtId="0" fontId="56" fillId="5" borderId="131" xfId="1" applyFont="1" applyFill="1" applyBorder="1" applyAlignment="1">
      <alignment horizontal="center" vertical="center" wrapText="1"/>
    </xf>
    <xf numFmtId="0" fontId="56" fillId="5" borderId="19" xfId="1" applyFont="1" applyFill="1" applyBorder="1" applyAlignment="1">
      <alignment horizontal="center" vertical="center" wrapText="1"/>
    </xf>
    <xf numFmtId="0" fontId="56" fillId="22" borderId="136" xfId="1" applyFont="1" applyFill="1" applyBorder="1" applyAlignment="1">
      <alignment horizontal="left" vertical="center" wrapText="1"/>
    </xf>
    <xf numFmtId="0" fontId="56" fillId="22" borderId="107" xfId="1" applyFont="1" applyFill="1" applyBorder="1" applyAlignment="1">
      <alignment horizontal="left" vertical="center" wrapText="1"/>
    </xf>
    <xf numFmtId="0" fontId="56" fillId="5" borderId="135" xfId="1" applyFont="1" applyFill="1" applyBorder="1" applyAlignment="1">
      <alignment horizontal="center" vertical="center" wrapText="1"/>
    </xf>
    <xf numFmtId="0" fontId="56" fillId="5" borderId="129" xfId="1" applyFont="1" applyFill="1" applyBorder="1" applyAlignment="1">
      <alignment horizontal="center" vertical="center" wrapText="1"/>
    </xf>
    <xf numFmtId="49" fontId="10" fillId="5" borderId="131" xfId="1" applyNumberFormat="1" applyFont="1" applyFill="1" applyBorder="1" applyAlignment="1">
      <alignment horizontal="center" vertical="center" wrapText="1"/>
    </xf>
    <xf numFmtId="49" fontId="10" fillId="5" borderId="24" xfId="1" applyNumberFormat="1" applyFont="1" applyFill="1" applyBorder="1" applyAlignment="1">
      <alignment horizontal="center" vertical="center" wrapText="1"/>
    </xf>
    <xf numFmtId="0" fontId="47" fillId="0" borderId="135" xfId="1" applyFont="1" applyBorder="1" applyAlignment="1">
      <alignment horizontal="left" vertical="center" wrapText="1"/>
    </xf>
    <xf numFmtId="0" fontId="47" fillId="0" borderId="10" xfId="1" applyFont="1" applyBorder="1" applyAlignment="1">
      <alignment horizontal="left" vertical="center" wrapText="1"/>
    </xf>
    <xf numFmtId="0" fontId="47" fillId="0" borderId="129" xfId="1" applyFont="1" applyBorder="1" applyAlignment="1">
      <alignment horizontal="left" vertical="center" wrapText="1"/>
    </xf>
    <xf numFmtId="0" fontId="56" fillId="5" borderId="10" xfId="1" applyFont="1" applyFill="1" applyBorder="1" applyAlignment="1">
      <alignment horizontal="center" vertical="center" wrapText="1"/>
    </xf>
    <xf numFmtId="0" fontId="10" fillId="5" borderId="136" xfId="1" applyFont="1" applyFill="1" applyBorder="1" applyAlignment="1">
      <alignment horizontal="center" vertical="center" wrapText="1"/>
    </xf>
    <xf numFmtId="0" fontId="10" fillId="5" borderId="25" xfId="1" applyFont="1" applyFill="1" applyBorder="1" applyAlignment="1">
      <alignment horizontal="center" vertical="center" wrapText="1"/>
    </xf>
    <xf numFmtId="0" fontId="57" fillId="5" borderId="131" xfId="1" applyFont="1" applyFill="1" applyBorder="1" applyAlignment="1">
      <alignment horizontal="center" vertical="center" wrapText="1"/>
    </xf>
    <xf numFmtId="0" fontId="57" fillId="5" borderId="24" xfId="1" applyFont="1" applyFill="1" applyBorder="1" applyAlignment="1">
      <alignment horizontal="center" vertical="center" wrapText="1"/>
    </xf>
    <xf numFmtId="0" fontId="47" fillId="5" borderId="26" xfId="1" applyFont="1" applyFill="1" applyBorder="1" applyAlignment="1">
      <alignment horizontal="center" vertical="center" wrapText="1"/>
    </xf>
    <xf numFmtId="0" fontId="8" fillId="22" borderId="124" xfId="1" applyFont="1" applyFill="1" applyBorder="1" applyAlignment="1">
      <alignment horizontal="left" vertical="center" wrapText="1"/>
    </xf>
    <xf numFmtId="0" fontId="8" fillId="22" borderId="3" xfId="1" applyFont="1" applyFill="1" applyBorder="1" applyAlignment="1">
      <alignment horizontal="left" vertical="center" wrapText="1"/>
    </xf>
    <xf numFmtId="0" fontId="8" fillId="22" borderId="127" xfId="1" applyFont="1" applyFill="1" applyBorder="1" applyAlignment="1">
      <alignment horizontal="left" vertical="center" wrapText="1"/>
    </xf>
    <xf numFmtId="0" fontId="8" fillId="22" borderId="128" xfId="1" applyFont="1" applyFill="1" applyBorder="1" applyAlignment="1">
      <alignment horizontal="left" vertical="center" wrapText="1"/>
    </xf>
    <xf numFmtId="0" fontId="47" fillId="0" borderId="26" xfId="1" applyFont="1" applyBorder="1" applyAlignment="1">
      <alignment horizontal="center" vertical="center" wrapText="1"/>
    </xf>
    <xf numFmtId="0" fontId="47" fillId="0" borderId="23" xfId="1" applyFont="1" applyBorder="1" applyAlignment="1">
      <alignment horizontal="center" vertical="center" wrapText="1"/>
    </xf>
    <xf numFmtId="0" fontId="47" fillId="0" borderId="19" xfId="1" applyFont="1" applyBorder="1" applyAlignment="1">
      <alignment horizontal="center" vertical="center" wrapText="1"/>
    </xf>
    <xf numFmtId="0" fontId="8" fillId="22" borderId="114" xfId="1" applyFont="1" applyFill="1" applyBorder="1" applyAlignment="1">
      <alignment horizontal="left" vertical="center" wrapText="1"/>
    </xf>
    <xf numFmtId="0" fontId="8" fillId="22" borderId="128" xfId="1" quotePrefix="1" applyFont="1" applyFill="1" applyBorder="1" applyAlignment="1">
      <alignment horizontal="left" vertical="center" wrapText="1"/>
    </xf>
    <xf numFmtId="0" fontId="49" fillId="0" borderId="133" xfId="1" applyFont="1" applyBorder="1" applyAlignment="1">
      <alignment horizontal="center" vertical="center" wrapText="1"/>
    </xf>
    <xf numFmtId="0" fontId="8" fillId="22" borderId="132" xfId="1" applyFont="1" applyFill="1" applyBorder="1" applyAlignment="1">
      <alignment horizontal="left" vertical="center" wrapText="1"/>
    </xf>
    <xf numFmtId="0" fontId="8" fillId="22" borderId="107" xfId="1" quotePrefix="1" applyFont="1" applyFill="1" applyBorder="1" applyAlignment="1">
      <alignment horizontal="left" vertical="center" wrapText="1"/>
    </xf>
    <xf numFmtId="0" fontId="49" fillId="0" borderId="131" xfId="1" applyFont="1" applyBorder="1" applyAlignment="1">
      <alignment horizontal="center" vertical="center" wrapText="1"/>
    </xf>
    <xf numFmtId="0" fontId="49" fillId="0" borderId="24" xfId="1" applyFont="1" applyBorder="1" applyAlignment="1">
      <alignment horizontal="center" vertical="center" wrapText="1"/>
    </xf>
    <xf numFmtId="0" fontId="8" fillId="22" borderId="137" xfId="1" applyFont="1" applyFill="1" applyBorder="1" applyAlignment="1">
      <alignment horizontal="left" vertical="center" wrapText="1"/>
    </xf>
    <xf numFmtId="0" fontId="8" fillId="22" borderId="138" xfId="1" quotePrefix="1" applyFont="1" applyFill="1" applyBorder="1" applyAlignment="1">
      <alignment horizontal="left" vertical="center" wrapText="1"/>
    </xf>
    <xf numFmtId="0" fontId="8" fillId="22" borderId="14" xfId="1" applyFont="1" applyFill="1" applyBorder="1" applyAlignment="1">
      <alignment horizontal="left" vertical="center" wrapText="1"/>
    </xf>
    <xf numFmtId="0" fontId="8" fillId="22" borderId="18" xfId="1" quotePrefix="1" applyFont="1" applyFill="1" applyBorder="1" applyAlignment="1">
      <alignment horizontal="left" vertical="center" wrapText="1"/>
    </xf>
    <xf numFmtId="0" fontId="8" fillId="22" borderId="124" xfId="1" quotePrefix="1" applyFont="1" applyFill="1" applyBorder="1" applyAlignment="1">
      <alignment horizontal="left" vertical="center" wrapText="1"/>
    </xf>
    <xf numFmtId="0" fontId="8" fillId="5" borderId="23" xfId="1" applyFont="1" applyFill="1" applyBorder="1" applyAlignment="1">
      <alignment horizontal="center" vertical="center" wrapText="1"/>
    </xf>
    <xf numFmtId="0" fontId="47" fillId="0" borderId="11" xfId="1" applyFont="1" applyBorder="1" applyAlignment="1">
      <alignment horizontal="center" vertical="center" wrapText="1"/>
    </xf>
    <xf numFmtId="0" fontId="47" fillId="0" borderId="25" xfId="1" applyFont="1" applyBorder="1" applyAlignment="1">
      <alignment horizontal="center" vertical="center" wrapText="1"/>
    </xf>
    <xf numFmtId="0" fontId="8" fillId="0" borderId="131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49" fillId="0" borderId="23" xfId="1" applyFont="1" applyBorder="1" applyAlignment="1">
      <alignment horizontal="center" vertical="center" wrapText="1"/>
    </xf>
    <xf numFmtId="0" fontId="47" fillId="5" borderId="135" xfId="1" applyFont="1" applyFill="1" applyBorder="1" applyAlignment="1">
      <alignment horizontal="left" vertical="center" wrapText="1"/>
    </xf>
    <xf numFmtId="0" fontId="47" fillId="5" borderId="10" xfId="1" applyFont="1" applyFill="1" applyBorder="1" applyAlignment="1">
      <alignment horizontal="left" vertical="center" wrapText="1"/>
    </xf>
    <xf numFmtId="0" fontId="47" fillId="5" borderId="129" xfId="1" applyFont="1" applyFill="1" applyBorder="1" applyAlignment="1">
      <alignment horizontal="left" vertical="center" wrapText="1"/>
    </xf>
    <xf numFmtId="0" fontId="8" fillId="22" borderId="3" xfId="1" quotePrefix="1" applyFont="1" applyFill="1" applyBorder="1" applyAlignment="1">
      <alignment horizontal="left" vertical="center" wrapText="1"/>
    </xf>
    <xf numFmtId="0" fontId="49" fillId="0" borderId="19" xfId="1" applyFont="1" applyBorder="1" applyAlignment="1">
      <alignment horizontal="center" vertical="center" wrapText="1"/>
    </xf>
    <xf numFmtId="0" fontId="50" fillId="0" borderId="26" xfId="1" applyFont="1" applyFill="1" applyBorder="1" applyAlignment="1">
      <alignment horizontal="center" vertical="center" wrapText="1"/>
    </xf>
    <xf numFmtId="0" fontId="49" fillId="0" borderId="131" xfId="1" applyFont="1" applyFill="1" applyBorder="1" applyAlignment="1">
      <alignment horizontal="center" vertical="center" wrapText="1"/>
    </xf>
    <xf numFmtId="0" fontId="49" fillId="0" borderId="23" xfId="1" applyFont="1" applyFill="1" applyBorder="1" applyAlignment="1">
      <alignment horizontal="center" vertical="center" wrapText="1"/>
    </xf>
    <xf numFmtId="0" fontId="49" fillId="0" borderId="24" xfId="1" applyFont="1" applyFill="1" applyBorder="1" applyAlignment="1">
      <alignment horizontal="center" vertical="center" wrapText="1"/>
    </xf>
    <xf numFmtId="0" fontId="8" fillId="22" borderId="0" xfId="1" applyFont="1" applyFill="1" applyBorder="1" applyAlignment="1">
      <alignment horizontal="left" vertical="center" wrapText="1"/>
    </xf>
    <xf numFmtId="0" fontId="8" fillId="22" borderId="0" xfId="1" quotePrefix="1" applyFont="1" applyFill="1" applyBorder="1" applyAlignment="1">
      <alignment horizontal="left" vertical="center" wrapText="1"/>
    </xf>
    <xf numFmtId="0" fontId="15" fillId="4" borderId="7" xfId="1" applyFont="1" applyFill="1" applyBorder="1" applyAlignment="1">
      <alignment horizontal="left" vertical="center" wrapText="1"/>
    </xf>
    <xf numFmtId="0" fontId="8" fillId="22" borderId="107" xfId="1" applyFont="1" applyFill="1" applyBorder="1" applyAlignment="1">
      <alignment horizontal="left" vertical="center" wrapText="1"/>
    </xf>
    <xf numFmtId="0" fontId="8" fillId="0" borderId="23" xfId="1" applyFont="1" applyBorder="1" applyAlignment="1">
      <alignment horizontal="center" vertical="center" wrapText="1"/>
    </xf>
    <xf numFmtId="0" fontId="53" fillId="5" borderId="135" xfId="1" applyFont="1" applyFill="1" applyBorder="1" applyAlignment="1">
      <alignment horizontal="left" vertical="center" wrapText="1"/>
    </xf>
    <xf numFmtId="0" fontId="53" fillId="5" borderId="129" xfId="1" applyFont="1" applyFill="1" applyBorder="1" applyAlignment="1">
      <alignment horizontal="left" vertical="center" wrapText="1"/>
    </xf>
    <xf numFmtId="0" fontId="8" fillId="22" borderId="133" xfId="1" quotePrefix="1" applyFont="1" applyFill="1" applyBorder="1" applyAlignment="1">
      <alignment horizontal="left" vertical="center" wrapText="1"/>
    </xf>
    <xf numFmtId="3" fontId="47" fillId="0" borderId="131" xfId="1" applyNumberFormat="1" applyFont="1" applyBorder="1" applyAlignment="1">
      <alignment horizontal="right" vertical="center" wrapText="1"/>
    </xf>
    <xf numFmtId="3" fontId="47" fillId="0" borderId="19" xfId="1" applyNumberFormat="1" applyFont="1" applyBorder="1" applyAlignment="1">
      <alignment horizontal="right" vertical="center" wrapText="1"/>
    </xf>
    <xf numFmtId="0" fontId="49" fillId="0" borderId="135" xfId="1" applyFont="1" applyBorder="1" applyAlignment="1">
      <alignment horizontal="center" vertical="center" wrapText="1"/>
    </xf>
    <xf numFmtId="0" fontId="49" fillId="0" borderId="129" xfId="1" applyFont="1" applyBorder="1" applyAlignment="1">
      <alignment horizontal="center" vertical="center" wrapText="1"/>
    </xf>
    <xf numFmtId="0" fontId="8" fillId="0" borderId="131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47" fillId="0" borderId="131" xfId="1" applyFont="1" applyBorder="1" applyAlignment="1">
      <alignment horizontal="center" vertical="center" wrapText="1"/>
    </xf>
    <xf numFmtId="0" fontId="47" fillId="0" borderId="24" xfId="1" applyFont="1" applyBorder="1" applyAlignment="1">
      <alignment horizontal="center" vertical="center" wrapText="1"/>
    </xf>
    <xf numFmtId="0" fontId="50" fillId="0" borderId="26" xfId="1" applyFont="1" applyBorder="1" applyAlignment="1">
      <alignment horizontal="center" vertical="center" wrapText="1"/>
    </xf>
    <xf numFmtId="0" fontId="50" fillId="0" borderId="23" xfId="1" applyFont="1" applyBorder="1" applyAlignment="1">
      <alignment horizontal="center" vertical="center" wrapText="1"/>
    </xf>
    <xf numFmtId="0" fontId="50" fillId="0" borderId="19" xfId="1" applyFont="1" applyBorder="1" applyAlignment="1">
      <alignment horizontal="center" vertical="center" wrapText="1"/>
    </xf>
    <xf numFmtId="0" fontId="50" fillId="0" borderId="131" xfId="1" applyFont="1" applyBorder="1" applyAlignment="1">
      <alignment horizontal="center" vertical="center" wrapText="1"/>
    </xf>
    <xf numFmtId="0" fontId="5" fillId="0" borderId="131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49" fontId="47" fillId="0" borderId="131" xfId="1" applyNumberFormat="1" applyFont="1" applyBorder="1" applyAlignment="1">
      <alignment horizontal="center" vertical="center" wrapText="1"/>
    </xf>
    <xf numFmtId="49" fontId="47" fillId="0" borderId="19" xfId="1" applyNumberFormat="1" applyFont="1" applyBorder="1" applyAlignment="1">
      <alignment horizontal="center" vertical="center" wrapText="1"/>
    </xf>
    <xf numFmtId="0" fontId="47" fillId="0" borderId="136" xfId="1" applyFont="1" applyBorder="1" applyAlignment="1">
      <alignment horizontal="center" vertical="center" wrapText="1"/>
    </xf>
    <xf numFmtId="0" fontId="8" fillId="22" borderId="16" xfId="1" applyFont="1" applyFill="1" applyBorder="1" applyAlignment="1">
      <alignment horizontal="left" vertical="center" wrapText="1"/>
    </xf>
    <xf numFmtId="0" fontId="8" fillId="22" borderId="15" xfId="1" applyFont="1" applyFill="1" applyBorder="1" applyAlignment="1">
      <alignment horizontal="left" vertical="center" wrapText="1"/>
    </xf>
    <xf numFmtId="0" fontId="8" fillId="5" borderId="131" xfId="1" applyFont="1" applyFill="1" applyBorder="1" applyAlignment="1">
      <alignment horizontal="center" vertical="center" wrapText="1"/>
    </xf>
    <xf numFmtId="0" fontId="8" fillId="5" borderId="24" xfId="1" applyFont="1" applyFill="1" applyBorder="1" applyAlignment="1">
      <alignment horizontal="center" vertical="center" wrapText="1"/>
    </xf>
    <xf numFmtId="0" fontId="8" fillId="22" borderId="27" xfId="1" applyFont="1" applyFill="1" applyBorder="1" applyAlignment="1">
      <alignment horizontal="left" vertical="center" wrapText="1"/>
    </xf>
    <xf numFmtId="0" fontId="8" fillId="22" borderId="28" xfId="1" applyFont="1" applyFill="1" applyBorder="1" applyAlignment="1">
      <alignment horizontal="left" vertical="center" wrapText="1"/>
    </xf>
    <xf numFmtId="0" fontId="8" fillId="0" borderId="23" xfId="1" applyFont="1" applyFill="1" applyBorder="1" applyAlignment="1">
      <alignment horizontal="center" vertical="center" wrapText="1"/>
    </xf>
    <xf numFmtId="49" fontId="47" fillId="0" borderId="24" xfId="1" applyNumberFormat="1" applyFont="1" applyBorder="1" applyAlignment="1">
      <alignment horizontal="center" vertical="center" wrapText="1"/>
    </xf>
    <xf numFmtId="0" fontId="7" fillId="0" borderId="135" xfId="1" applyFont="1" applyBorder="1" applyAlignment="1">
      <alignment horizontal="left" vertical="center" wrapText="1"/>
    </xf>
    <xf numFmtId="0" fontId="7" fillId="0" borderId="129" xfId="1" applyFont="1" applyBorder="1" applyAlignment="1">
      <alignment horizontal="left" vertical="center" wrapText="1"/>
    </xf>
    <xf numFmtId="0" fontId="15" fillId="0" borderId="26" xfId="1" quotePrefix="1" applyFont="1" applyFill="1" applyBorder="1" applyAlignment="1">
      <alignment horizontal="center" vertical="center" wrapText="1"/>
    </xf>
    <xf numFmtId="0" fontId="15" fillId="0" borderId="23" xfId="1" quotePrefix="1" applyFont="1" applyFill="1" applyBorder="1" applyAlignment="1">
      <alignment horizontal="center" vertical="center" wrapText="1"/>
    </xf>
    <xf numFmtId="0" fontId="49" fillId="0" borderId="67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29" xfId="1" applyFont="1" applyFill="1" applyBorder="1" applyAlignment="1">
      <alignment horizontal="center" vertical="center" wrapText="1"/>
    </xf>
    <xf numFmtId="0" fontId="8" fillId="22" borderId="11" xfId="1" applyFont="1" applyFill="1" applyBorder="1" applyAlignment="1">
      <alignment horizontal="left" vertical="center" wrapText="1"/>
    </xf>
    <xf numFmtId="49" fontId="9" fillId="0" borderId="131" xfId="1" applyNumberFormat="1" applyFont="1" applyBorder="1" applyAlignment="1">
      <alignment horizontal="center" vertical="center" wrapText="1"/>
    </xf>
    <xf numFmtId="49" fontId="9" fillId="0" borderId="19" xfId="1" applyNumberFormat="1" applyFont="1" applyBorder="1" applyAlignment="1">
      <alignment horizontal="center" vertical="center" wrapText="1"/>
    </xf>
    <xf numFmtId="0" fontId="47" fillId="0" borderId="3" xfId="1" applyFont="1" applyBorder="1" applyAlignment="1">
      <alignment horizontal="left" vertical="center" wrapText="1"/>
    </xf>
    <xf numFmtId="0" fontId="47" fillId="0" borderId="55" xfId="1" applyFont="1" applyBorder="1" applyAlignment="1">
      <alignment horizontal="left" vertical="center" wrapText="1"/>
    </xf>
    <xf numFmtId="49" fontId="8" fillId="22" borderId="16" xfId="1" applyNumberFormat="1" applyFont="1" applyFill="1" applyBorder="1" applyAlignment="1">
      <alignment horizontal="left" vertical="center" wrapText="1"/>
    </xf>
    <xf numFmtId="49" fontId="8" fillId="22" borderId="76" xfId="1" applyNumberFormat="1" applyFont="1" applyFill="1" applyBorder="1" applyAlignment="1">
      <alignment horizontal="left" vertical="center" wrapText="1"/>
    </xf>
    <xf numFmtId="49" fontId="8" fillId="22" borderId="127" xfId="1" applyNumberFormat="1" applyFont="1" applyFill="1" applyBorder="1" applyAlignment="1">
      <alignment horizontal="left" vertical="center" wrapText="1"/>
    </xf>
    <xf numFmtId="49" fontId="8" fillId="22" borderId="128" xfId="1" applyNumberFormat="1" applyFont="1" applyFill="1" applyBorder="1" applyAlignment="1">
      <alignment horizontal="left" vertical="center" wrapText="1"/>
    </xf>
    <xf numFmtId="0" fontId="8" fillId="22" borderId="125" xfId="1" applyFont="1" applyFill="1" applyBorder="1" applyAlignment="1">
      <alignment horizontal="left" vertical="center" wrapText="1"/>
    </xf>
    <xf numFmtId="0" fontId="8" fillId="22" borderId="126" xfId="1" quotePrefix="1" applyFont="1" applyFill="1" applyBorder="1" applyAlignment="1">
      <alignment horizontal="left" vertical="center" wrapText="1"/>
    </xf>
    <xf numFmtId="0" fontId="8" fillId="22" borderId="130" xfId="1" quotePrefix="1" applyFont="1" applyFill="1" applyBorder="1" applyAlignment="1">
      <alignment horizontal="left" vertical="center" wrapText="1"/>
    </xf>
    <xf numFmtId="49" fontId="9" fillId="0" borderId="23" xfId="1" applyNumberFormat="1" applyFont="1" applyBorder="1" applyAlignment="1">
      <alignment horizontal="center" vertical="center" wrapText="1"/>
    </xf>
    <xf numFmtId="49" fontId="9" fillId="0" borderId="24" xfId="1" applyNumberFormat="1" applyFont="1" applyBorder="1" applyAlignment="1">
      <alignment horizontal="center" vertical="center" wrapText="1"/>
    </xf>
    <xf numFmtId="0" fontId="47" fillId="0" borderId="124" xfId="1" applyFont="1" applyBorder="1" applyAlignment="1">
      <alignment horizontal="left" vertical="center" wrapText="1"/>
    </xf>
    <xf numFmtId="0" fontId="15" fillId="0" borderId="11" xfId="1" quotePrefix="1" applyFont="1" applyFill="1" applyBorder="1" applyAlignment="1">
      <alignment horizontal="center" vertical="center" wrapText="1"/>
    </xf>
    <xf numFmtId="0" fontId="8" fillId="22" borderId="126" xfId="1" applyFont="1" applyFill="1" applyBorder="1" applyAlignment="1">
      <alignment horizontal="left" vertical="center" wrapText="1"/>
    </xf>
    <xf numFmtId="0" fontId="7" fillId="0" borderId="23" xfId="1" quotePrefix="1" applyFont="1" applyBorder="1" applyAlignment="1">
      <alignment horizontal="center" vertical="center" wrapText="1"/>
    </xf>
    <xf numFmtId="0" fontId="7" fillId="0" borderId="19" xfId="1" quotePrefix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 vertical="center" wrapText="1"/>
    </xf>
    <xf numFmtId="0" fontId="5" fillId="0" borderId="0" xfId="1" applyAlignment="1">
      <alignment horizontal="center" vertical="center" wrapText="1"/>
    </xf>
    <xf numFmtId="0" fontId="46" fillId="0" borderId="0" xfId="1" applyFont="1" applyBorder="1" applyAlignment="1">
      <alignment horizontal="center" vertical="center" wrapText="1"/>
    </xf>
    <xf numFmtId="0" fontId="48" fillId="3" borderId="7" xfId="1" applyFont="1" applyFill="1" applyBorder="1" applyAlignment="1">
      <alignment horizontal="center" vertical="center" wrapText="1"/>
    </xf>
    <xf numFmtId="0" fontId="48" fillId="3" borderId="17" xfId="1" applyFont="1" applyFill="1" applyBorder="1" applyAlignment="1">
      <alignment horizontal="center" vertical="center" wrapText="1"/>
    </xf>
    <xf numFmtId="0" fontId="48" fillId="3" borderId="14" xfId="1" applyFont="1" applyFill="1" applyBorder="1" applyAlignment="1">
      <alignment horizontal="center" vertical="center" wrapText="1"/>
    </xf>
    <xf numFmtId="49" fontId="36" fillId="8" borderId="146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84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0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1" xfId="1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1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10" applyNumberFormat="1" applyFont="1" applyFill="1" applyBorder="1" applyAlignment="1" applyProtection="1">
      <alignment horizontal="center" vertical="center"/>
      <protection locked="0"/>
    </xf>
    <xf numFmtId="49" fontId="38" fillId="8" borderId="0" xfId="10" applyNumberFormat="1" applyFont="1" applyFill="1" applyBorder="1" applyAlignment="1" applyProtection="1">
      <alignment horizontal="center" vertical="center" wrapText="1"/>
      <protection locked="0"/>
    </xf>
    <xf numFmtId="49" fontId="40" fillId="8" borderId="103" xfId="10" applyNumberFormat="1" applyFont="1" applyFill="1" applyBorder="1" applyAlignment="1" applyProtection="1">
      <alignment horizontal="center" vertical="center" wrapText="1"/>
      <protection locked="0"/>
    </xf>
    <xf numFmtId="49" fontId="40" fillId="8" borderId="104" xfId="10" applyNumberFormat="1" applyFont="1" applyFill="1" applyBorder="1" applyAlignment="1" applyProtection="1">
      <alignment horizontal="center" vertical="center" wrapText="1"/>
      <protection locked="0"/>
    </xf>
    <xf numFmtId="49" fontId="40" fillId="9" borderId="79" xfId="10" applyNumberFormat="1" applyFont="1" applyFill="1" applyBorder="1" applyAlignment="1" applyProtection="1">
      <alignment horizontal="center" vertical="center" wrapText="1"/>
      <protection locked="0"/>
    </xf>
    <xf numFmtId="49" fontId="40" fillId="9" borderId="80" xfId="10" applyNumberFormat="1" applyFont="1" applyFill="1" applyBorder="1" applyAlignment="1" applyProtection="1">
      <alignment horizontal="center" vertical="center" wrapText="1"/>
      <protection locked="0"/>
    </xf>
    <xf numFmtId="49" fontId="41" fillId="10" borderId="79" xfId="10" applyNumberFormat="1" applyFont="1" applyFill="1" applyBorder="1" applyAlignment="1" applyProtection="1">
      <alignment horizontal="center" vertical="center" wrapText="1"/>
      <protection locked="0"/>
    </xf>
    <xf numFmtId="49" fontId="41" fillId="10" borderId="80" xfId="10" applyNumberFormat="1" applyFont="1" applyFill="1" applyBorder="1" applyAlignment="1" applyProtection="1">
      <alignment horizontal="center" vertical="center" wrapText="1"/>
      <protection locked="0"/>
    </xf>
    <xf numFmtId="49" fontId="36" fillId="0" borderId="82" xfId="10" applyNumberFormat="1" applyFont="1" applyFill="1" applyBorder="1" applyAlignment="1" applyProtection="1">
      <alignment horizontal="center" vertical="center" wrapText="1"/>
      <protection locked="0"/>
    </xf>
    <xf numFmtId="49" fontId="36" fillId="0" borderId="83" xfId="10" applyNumberFormat="1" applyFont="1" applyFill="1" applyBorder="1" applyAlignment="1" applyProtection="1">
      <alignment horizontal="center" vertical="center" wrapText="1"/>
      <protection locked="0"/>
    </xf>
    <xf numFmtId="49" fontId="36" fillId="0" borderId="146" xfId="10" applyNumberFormat="1" applyFont="1" applyFill="1" applyBorder="1" applyAlignment="1" applyProtection="1">
      <alignment horizontal="center" vertical="center" wrapText="1"/>
      <protection locked="0"/>
    </xf>
    <xf numFmtId="49" fontId="36" fillId="0" borderId="84" xfId="10" applyNumberFormat="1" applyFont="1" applyFill="1" applyBorder="1" applyAlignment="1" applyProtection="1">
      <alignment horizontal="center" vertical="center" wrapText="1"/>
      <protection locked="0"/>
    </xf>
    <xf numFmtId="49" fontId="40" fillId="0" borderId="79" xfId="10" applyNumberFormat="1" applyFont="1" applyFill="1" applyBorder="1" applyAlignment="1" applyProtection="1">
      <alignment horizontal="left" vertical="center" wrapText="1"/>
      <protection locked="0"/>
    </xf>
    <xf numFmtId="49" fontId="40" fillId="0" borderId="80" xfId="10" applyNumberFormat="1" applyFont="1" applyFill="1" applyBorder="1" applyAlignment="1" applyProtection="1">
      <alignment horizontal="left" vertical="center" wrapText="1"/>
      <protection locked="0"/>
    </xf>
    <xf numFmtId="49" fontId="36" fillId="0" borderId="79" xfId="10" applyNumberFormat="1" applyFont="1" applyFill="1" applyBorder="1" applyAlignment="1" applyProtection="1">
      <alignment horizontal="left" vertical="center" wrapText="1"/>
      <protection locked="0"/>
    </xf>
    <xf numFmtId="49" fontId="36" fillId="0" borderId="85" xfId="10" applyNumberFormat="1" applyFont="1" applyFill="1" applyBorder="1" applyAlignment="1" applyProtection="1">
      <alignment horizontal="left" vertical="center" wrapText="1"/>
      <protection locked="0"/>
    </xf>
    <xf numFmtId="0" fontId="42" fillId="0" borderId="79" xfId="10" applyNumberFormat="1" applyFont="1" applyFill="1" applyBorder="1" applyAlignment="1" applyProtection="1">
      <alignment horizontal="left" vertical="center"/>
      <protection locked="0"/>
    </xf>
    <xf numFmtId="0" fontId="42" fillId="0" borderId="86" xfId="10" applyNumberFormat="1" applyFont="1" applyFill="1" applyBorder="1" applyAlignment="1" applyProtection="1">
      <alignment horizontal="left" vertical="center"/>
      <protection locked="0"/>
    </xf>
    <xf numFmtId="49" fontId="36" fillId="8" borderId="79" xfId="10" applyNumberFormat="1" applyFont="1" applyFill="1" applyBorder="1" applyAlignment="1" applyProtection="1">
      <alignment horizontal="left" vertical="center" wrapText="1"/>
      <protection locked="0"/>
    </xf>
    <xf numFmtId="49" fontId="36" fillId="8" borderId="80" xfId="10" applyNumberFormat="1" applyFont="1" applyFill="1" applyBorder="1" applyAlignment="1" applyProtection="1">
      <alignment horizontal="left" vertical="center" wrapText="1"/>
      <protection locked="0"/>
    </xf>
    <xf numFmtId="49" fontId="42" fillId="8" borderId="79" xfId="10" applyNumberFormat="1" applyFont="1" applyFill="1" applyBorder="1" applyAlignment="1" applyProtection="1">
      <alignment horizontal="left" vertical="center" wrapText="1"/>
      <protection locked="0"/>
    </xf>
    <xf numFmtId="49" fontId="42" fillId="8" borderId="80" xfId="10" applyNumberFormat="1" applyFont="1" applyFill="1" applyBorder="1" applyAlignment="1" applyProtection="1">
      <alignment horizontal="left" vertical="center" wrapText="1"/>
      <protection locked="0"/>
    </xf>
    <xf numFmtId="49" fontId="36" fillId="0" borderId="80" xfId="10" applyNumberFormat="1" applyFont="1" applyFill="1" applyBorder="1" applyAlignment="1" applyProtection="1">
      <alignment horizontal="left" vertical="center" wrapText="1"/>
      <protection locked="0"/>
    </xf>
    <xf numFmtId="0" fontId="42" fillId="0" borderId="80" xfId="10" applyNumberFormat="1" applyFont="1" applyFill="1" applyBorder="1" applyAlignment="1" applyProtection="1">
      <alignment horizontal="left" vertical="center"/>
      <protection locked="0"/>
    </xf>
    <xf numFmtId="49" fontId="40" fillId="8" borderId="79" xfId="10" applyNumberFormat="1" applyFont="1" applyFill="1" applyBorder="1" applyAlignment="1" applyProtection="1">
      <alignment horizontal="left" vertical="center" wrapText="1"/>
      <protection locked="0"/>
    </xf>
    <xf numFmtId="49" fontId="40" fillId="8" borderId="80" xfId="10" applyNumberFormat="1" applyFont="1" applyFill="1" applyBorder="1" applyAlignment="1" applyProtection="1">
      <alignment horizontal="left" vertical="center" wrapText="1"/>
      <protection locked="0"/>
    </xf>
    <xf numFmtId="49" fontId="36" fillId="8" borderId="82" xfId="10" applyNumberFormat="1" applyFont="1" applyFill="1" applyBorder="1" applyAlignment="1" applyProtection="1">
      <alignment horizontal="left" vertical="center" wrapText="1"/>
      <protection locked="0"/>
    </xf>
    <xf numFmtId="49" fontId="36" fillId="8" borderId="88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89" xfId="10" applyNumberFormat="1" applyFont="1" applyFill="1" applyBorder="1" applyAlignment="1" applyProtection="1">
      <alignment horizontal="center" vertical="center" wrapText="1"/>
      <protection locked="0"/>
    </xf>
    <xf numFmtId="49" fontId="36" fillId="0" borderId="90" xfId="10" applyNumberFormat="1" applyFont="1" applyFill="1" applyBorder="1" applyAlignment="1" applyProtection="1">
      <alignment horizontal="center" vertical="center" wrapText="1"/>
      <protection locked="0"/>
    </xf>
    <xf numFmtId="49" fontId="36" fillId="0" borderId="0" xfId="10" applyNumberFormat="1" applyFont="1" applyFill="1" applyBorder="1" applyAlignment="1" applyProtection="1">
      <alignment horizontal="center" vertical="center" wrapText="1"/>
      <protection locked="0"/>
    </xf>
    <xf numFmtId="49" fontId="36" fillId="0" borderId="88" xfId="10" applyNumberFormat="1" applyFont="1" applyFill="1" applyBorder="1" applyAlignment="1" applyProtection="1">
      <alignment horizontal="center" vertical="center" wrapText="1"/>
      <protection locked="0"/>
    </xf>
    <xf numFmtId="49" fontId="36" fillId="0" borderId="94" xfId="10" applyNumberFormat="1" applyFont="1" applyFill="1" applyBorder="1" applyAlignment="1" applyProtection="1">
      <alignment horizontal="center" vertical="center" wrapText="1"/>
      <protection locked="0"/>
    </xf>
    <xf numFmtId="0" fontId="42" fillId="0" borderId="82" xfId="10" applyNumberFormat="1" applyFont="1" applyFill="1" applyBorder="1" applyAlignment="1" applyProtection="1">
      <alignment horizontal="left" vertical="center"/>
      <protection locked="0"/>
    </xf>
    <xf numFmtId="49" fontId="42" fillId="8" borderId="146" xfId="10" applyNumberFormat="1" applyFont="1" applyFill="1" applyBorder="1" applyAlignment="1" applyProtection="1">
      <alignment horizontal="left" vertical="center" wrapText="1"/>
      <protection locked="0"/>
    </xf>
    <xf numFmtId="0" fontId="43" fillId="0" borderId="85" xfId="0" applyFont="1" applyBorder="1" applyAlignment="1">
      <alignment horizontal="left" vertical="center" wrapText="1"/>
    </xf>
    <xf numFmtId="49" fontId="36" fillId="0" borderId="89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96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97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98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94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105" xfId="10" applyNumberFormat="1" applyFont="1" applyFill="1" applyBorder="1" applyAlignment="1" applyProtection="1">
      <alignment horizontal="center" vertical="center" wrapText="1"/>
      <protection locked="0"/>
    </xf>
    <xf numFmtId="49" fontId="40" fillId="8" borderId="88" xfId="10" applyNumberFormat="1" applyFont="1" applyFill="1" applyBorder="1" applyAlignment="1" applyProtection="1">
      <alignment horizontal="left" vertical="center" wrapText="1"/>
      <protection locked="0"/>
    </xf>
    <xf numFmtId="49" fontId="40" fillId="8" borderId="89" xfId="10" applyNumberFormat="1" applyFont="1" applyFill="1" applyBorder="1" applyAlignment="1" applyProtection="1">
      <alignment horizontal="left" vertical="center" wrapText="1"/>
      <protection locked="0"/>
    </xf>
    <xf numFmtId="49" fontId="36" fillId="8" borderId="146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4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49" fontId="42" fillId="8" borderId="82" xfId="10" applyNumberFormat="1" applyFont="1" applyFill="1" applyBorder="1" applyAlignment="1" applyProtection="1">
      <alignment horizontal="left" vertical="center" wrapText="1"/>
      <protection locked="0"/>
    </xf>
    <xf numFmtId="49" fontId="36" fillId="14" borderId="82" xfId="10" applyNumberFormat="1" applyFont="1" applyFill="1" applyBorder="1" applyAlignment="1" applyProtection="1">
      <alignment horizontal="center" vertical="center" wrapText="1"/>
      <protection locked="0"/>
    </xf>
    <xf numFmtId="0" fontId="0" fillId="5" borderId="83" xfId="0" applyFill="1" applyBorder="1" applyAlignment="1">
      <alignment horizontal="center" vertical="center" wrapText="1"/>
    </xf>
    <xf numFmtId="0" fontId="0" fillId="5" borderId="146" xfId="0" applyFill="1" applyBorder="1" applyAlignment="1">
      <alignment horizontal="center" vertical="center" wrapText="1"/>
    </xf>
    <xf numFmtId="0" fontId="0" fillId="5" borderId="84" xfId="0" applyFill="1" applyBorder="1" applyAlignment="1">
      <alignment horizontal="center" vertical="center" wrapText="1"/>
    </xf>
    <xf numFmtId="0" fontId="0" fillId="5" borderId="88" xfId="0" applyFill="1" applyBorder="1" applyAlignment="1">
      <alignment horizontal="center" vertical="center" wrapText="1"/>
    </xf>
    <xf numFmtId="0" fontId="0" fillId="5" borderId="89" xfId="0" applyFill="1" applyBorder="1" applyAlignment="1">
      <alignment horizontal="center" vertical="center" wrapText="1"/>
    </xf>
    <xf numFmtId="0" fontId="44" fillId="0" borderId="80" xfId="0" applyFont="1" applyBorder="1" applyAlignment="1">
      <alignment horizontal="left" vertical="center" wrapText="1"/>
    </xf>
    <xf numFmtId="49" fontId="36" fillId="0" borderId="79" xfId="10" applyNumberFormat="1" applyFont="1" applyFill="1" applyBorder="1" applyAlignment="1" applyProtection="1">
      <alignment vertical="center" wrapText="1"/>
      <protection locked="0"/>
    </xf>
    <xf numFmtId="0" fontId="0" fillId="0" borderId="80" xfId="0" applyFont="1" applyBorder="1" applyAlignment="1">
      <alignment vertical="center" wrapText="1"/>
    </xf>
    <xf numFmtId="49" fontId="42" fillId="0" borderId="79" xfId="10" applyNumberFormat="1" applyFont="1" applyFill="1" applyBorder="1" applyAlignment="1" applyProtection="1">
      <alignment vertical="center" wrapText="1"/>
      <protection locked="0"/>
    </xf>
    <xf numFmtId="0" fontId="43" fillId="0" borderId="80" xfId="0" applyFont="1" applyBorder="1" applyAlignment="1">
      <alignment vertical="center" wrapText="1"/>
    </xf>
    <xf numFmtId="49" fontId="40" fillId="0" borderId="146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83" xfId="0" applyBorder="1"/>
    <xf numFmtId="0" fontId="0" fillId="0" borderId="146" xfId="0" applyBorder="1"/>
    <xf numFmtId="0" fontId="0" fillId="0" borderId="84" xfId="0" applyBorder="1"/>
    <xf numFmtId="0" fontId="0" fillId="0" borderId="88" xfId="0" applyBorder="1"/>
    <xf numFmtId="0" fontId="0" fillId="0" borderId="89" xfId="0" applyBorder="1"/>
    <xf numFmtId="0" fontId="0" fillId="0" borderId="89" xfId="0" applyBorder="1" applyAlignment="1">
      <alignment horizontal="center" vertical="center" wrapText="1"/>
    </xf>
    <xf numFmtId="0" fontId="0" fillId="5" borderId="83" xfId="0" applyFill="1" applyBorder="1" applyAlignment="1">
      <alignment vertical="center" wrapText="1"/>
    </xf>
    <xf numFmtId="0" fontId="0" fillId="5" borderId="146" xfId="0" applyFill="1" applyBorder="1" applyAlignment="1">
      <alignment vertical="center" wrapText="1"/>
    </xf>
    <xf numFmtId="0" fontId="0" fillId="5" borderId="84" xfId="0" applyFill="1" applyBorder="1" applyAlignment="1">
      <alignment vertical="center" wrapText="1"/>
    </xf>
    <xf numFmtId="0" fontId="0" fillId="0" borderId="146" xfId="0" applyBorder="1" applyAlignment="1">
      <alignment vertical="center" wrapText="1"/>
    </xf>
    <xf numFmtId="0" fontId="0" fillId="0" borderId="84" xfId="0" applyBorder="1" applyAlignment="1">
      <alignment vertical="center" wrapText="1"/>
    </xf>
    <xf numFmtId="0" fontId="0" fillId="0" borderId="88" xfId="0" applyBorder="1" applyAlignment="1">
      <alignment vertical="center" wrapText="1"/>
    </xf>
    <xf numFmtId="0" fontId="0" fillId="0" borderId="89" xfId="0" applyBorder="1" applyAlignment="1">
      <alignment vertical="center" wrapText="1"/>
    </xf>
    <xf numFmtId="49" fontId="40" fillId="0" borderId="82" xfId="10" applyNumberFormat="1" applyFont="1" applyFill="1" applyBorder="1" applyAlignment="1" applyProtection="1">
      <alignment horizontal="left" vertical="center" wrapText="1"/>
      <protection locked="0"/>
    </xf>
    <xf numFmtId="49" fontId="36" fillId="8" borderId="82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83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87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148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92" xfId="10" applyNumberFormat="1" applyFont="1" applyFill="1" applyBorder="1" applyAlignment="1" applyProtection="1">
      <alignment horizontal="center" vertical="center" wrapText="1"/>
      <protection locked="0"/>
    </xf>
    <xf numFmtId="49" fontId="40" fillId="8" borderId="101" xfId="10" applyNumberFormat="1" applyFont="1" applyFill="1" applyBorder="1" applyAlignment="1" applyProtection="1">
      <alignment horizontal="left" vertical="center" wrapText="1"/>
      <protection locked="0"/>
    </xf>
    <xf numFmtId="0" fontId="44" fillId="0" borderId="102" xfId="0" applyFont="1" applyBorder="1" applyAlignment="1">
      <alignment horizontal="left" vertical="center" wrapText="1"/>
    </xf>
    <xf numFmtId="49" fontId="40" fillId="14" borderId="103" xfId="10" applyNumberFormat="1" applyFont="1" applyFill="1" applyBorder="1" applyAlignment="1" applyProtection="1">
      <alignment horizontal="left" vertical="center" wrapText="1"/>
      <protection locked="0"/>
    </xf>
    <xf numFmtId="0" fontId="44" fillId="0" borderId="104" xfId="0" applyFont="1" applyBorder="1" applyAlignment="1">
      <alignment horizontal="left" vertical="center" wrapText="1"/>
    </xf>
    <xf numFmtId="49" fontId="41" fillId="14" borderId="82" xfId="10" applyNumberFormat="1" applyFont="1" applyFill="1" applyBorder="1" applyAlignment="1" applyProtection="1">
      <alignment horizontal="center" vertical="center" wrapText="1"/>
      <protection locked="0"/>
    </xf>
    <xf numFmtId="0" fontId="0" fillId="5" borderId="162" xfId="0" applyFill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49" fontId="41" fillId="14" borderId="79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80" xfId="0" applyBorder="1" applyAlignment="1">
      <alignment horizontal="left" vertical="center" wrapText="1"/>
    </xf>
    <xf numFmtId="49" fontId="36" fillId="14" borderId="79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80" xfId="0" applyFont="1" applyBorder="1" applyAlignment="1">
      <alignment horizontal="left" vertical="center" wrapText="1"/>
    </xf>
    <xf numFmtId="49" fontId="41" fillId="14" borderId="146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49" fontId="42" fillId="8" borderId="101" xfId="10" applyNumberFormat="1" applyFont="1" applyFill="1" applyBorder="1" applyAlignment="1" applyProtection="1">
      <alignment horizontal="left" vertical="center" wrapText="1"/>
      <protection locked="0"/>
    </xf>
    <xf numFmtId="49" fontId="42" fillId="8" borderId="102" xfId="10" applyNumberFormat="1" applyFont="1" applyFill="1" applyBorder="1" applyAlignment="1" applyProtection="1">
      <alignment horizontal="left" vertical="center" wrapText="1"/>
      <protection locked="0"/>
    </xf>
    <xf numFmtId="49" fontId="40" fillId="8" borderId="103" xfId="10" applyNumberFormat="1" applyFont="1" applyFill="1" applyBorder="1" applyAlignment="1" applyProtection="1">
      <alignment horizontal="left" vertical="center" wrapText="1"/>
      <protection locked="0"/>
    </xf>
    <xf numFmtId="49" fontId="40" fillId="8" borderId="104" xfId="10" applyNumberFormat="1" applyFont="1" applyFill="1" applyBorder="1" applyAlignment="1" applyProtection="1">
      <alignment horizontal="left" vertical="center" wrapText="1"/>
      <protection locked="0"/>
    </xf>
    <xf numFmtId="49" fontId="41" fillId="0" borderId="84" xfId="10" applyNumberFormat="1" applyFont="1" applyFill="1" applyBorder="1" applyAlignment="1" applyProtection="1">
      <alignment horizontal="center" vertical="center" wrapText="1"/>
      <protection locked="0"/>
    </xf>
    <xf numFmtId="49" fontId="41" fillId="11" borderId="79" xfId="10" applyNumberFormat="1" applyFont="1" applyFill="1" applyBorder="1" applyAlignment="1" applyProtection="1">
      <alignment horizontal="center" vertical="center" wrapText="1"/>
      <protection locked="0"/>
    </xf>
    <xf numFmtId="49" fontId="41" fillId="11" borderId="80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90" xfId="0" applyBorder="1" applyAlignment="1">
      <alignment horizontal="center" vertical="center" wrapText="1"/>
    </xf>
    <xf numFmtId="49" fontId="36" fillId="8" borderId="101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107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102" xfId="10" applyNumberFormat="1" applyFont="1" applyFill="1" applyBorder="1" applyAlignment="1" applyProtection="1">
      <alignment horizontal="center" vertical="center" wrapText="1"/>
      <protection locked="0"/>
    </xf>
    <xf numFmtId="49" fontId="40" fillId="8" borderId="81" xfId="10" applyNumberFormat="1" applyFont="1" applyFill="1" applyBorder="1" applyAlignment="1" applyProtection="1">
      <alignment horizontal="left" vertical="center" wrapText="1"/>
      <protection locked="0"/>
    </xf>
    <xf numFmtId="49" fontId="36" fillId="8" borderId="81" xfId="10" applyNumberFormat="1" applyFont="1" applyFill="1" applyBorder="1" applyAlignment="1" applyProtection="1">
      <alignment horizontal="left" vertical="center" wrapText="1"/>
      <protection locked="0"/>
    </xf>
    <xf numFmtId="49" fontId="36" fillId="0" borderId="146" xfId="10" applyNumberFormat="1" applyFont="1" applyFill="1" applyBorder="1" applyAlignment="1" applyProtection="1">
      <alignment horizontal="left" vertical="center" wrapText="1"/>
      <protection locked="0"/>
    </xf>
    <xf numFmtId="49" fontId="36" fillId="0" borderId="89" xfId="10" applyNumberFormat="1" applyFont="1" applyFill="1" applyBorder="1" applyAlignment="1" applyProtection="1">
      <alignment horizontal="left" vertical="center" wrapText="1"/>
      <protection locked="0"/>
    </xf>
    <xf numFmtId="0" fontId="36" fillId="0" borderId="88" xfId="10" applyNumberFormat="1" applyFont="1" applyFill="1" applyBorder="1" applyAlignment="1" applyProtection="1">
      <alignment horizontal="center" vertical="center"/>
      <protection locked="0"/>
    </xf>
    <xf numFmtId="0" fontId="36" fillId="0" borderId="86" xfId="10" applyNumberFormat="1" applyFont="1" applyFill="1" applyBorder="1" applyAlignment="1" applyProtection="1">
      <alignment horizontal="center" vertical="center"/>
      <protection locked="0"/>
    </xf>
    <xf numFmtId="0" fontId="36" fillId="0" borderId="105" xfId="10" applyNumberFormat="1" applyFont="1" applyFill="1" applyBorder="1" applyAlignment="1" applyProtection="1">
      <alignment horizontal="center" vertical="center"/>
      <protection locked="0"/>
    </xf>
    <xf numFmtId="49" fontId="36" fillId="8" borderId="79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86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85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78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99" xfId="10" applyNumberFormat="1" applyFont="1" applyFill="1" applyBorder="1" applyAlignment="1" applyProtection="1">
      <alignment horizontal="center" vertical="center" wrapText="1"/>
      <protection locked="0"/>
    </xf>
    <xf numFmtId="49" fontId="41" fillId="10" borderId="86" xfId="10" applyNumberFormat="1" applyFont="1" applyFill="1" applyBorder="1" applyAlignment="1" applyProtection="1">
      <alignment horizontal="center" vertical="center" wrapText="1"/>
      <protection locked="0"/>
    </xf>
    <xf numFmtId="49" fontId="41" fillId="10" borderId="90" xfId="10" applyNumberFormat="1" applyFont="1" applyFill="1" applyBorder="1" applyAlignment="1" applyProtection="1">
      <alignment horizontal="center" vertical="center" wrapText="1"/>
      <protection locked="0"/>
    </xf>
    <xf numFmtId="49" fontId="41" fillId="10" borderId="83" xfId="10" applyNumberFormat="1" applyFont="1" applyFill="1" applyBorder="1" applyAlignment="1" applyProtection="1">
      <alignment horizontal="center" vertical="center" wrapText="1"/>
      <protection locked="0"/>
    </xf>
    <xf numFmtId="49" fontId="36" fillId="0" borderId="111" xfId="10" applyNumberFormat="1" applyFont="1" applyFill="1" applyBorder="1" applyAlignment="1" applyProtection="1">
      <alignment horizontal="center" vertical="center" wrapText="1"/>
      <protection locked="0"/>
    </xf>
    <xf numFmtId="49" fontId="36" fillId="0" borderId="112" xfId="10" applyNumberFormat="1" applyFont="1" applyFill="1" applyBorder="1" applyAlignment="1" applyProtection="1">
      <alignment horizontal="center" vertical="center" wrapText="1"/>
      <protection locked="0"/>
    </xf>
    <xf numFmtId="49" fontId="36" fillId="0" borderId="149" xfId="10" applyNumberFormat="1" applyFont="1" applyFill="1" applyBorder="1" applyAlignment="1" applyProtection="1">
      <alignment horizontal="center" vertical="center" wrapText="1"/>
      <protection locked="0"/>
    </xf>
    <xf numFmtId="49" fontId="36" fillId="0" borderId="1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14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4" xfId="0" applyBorder="1" applyAlignment="1">
      <alignment horizontal="center" vertical="center" wrapText="1"/>
    </xf>
    <xf numFmtId="0" fontId="0" fillId="0" borderId="115" xfId="0" applyBorder="1" applyAlignment="1">
      <alignment horizontal="center" vertical="center" wrapText="1"/>
    </xf>
    <xf numFmtId="49" fontId="40" fillId="0" borderId="86" xfId="10" applyNumberFormat="1" applyFont="1" applyFill="1" applyBorder="1" applyAlignment="1" applyProtection="1">
      <alignment horizontal="left" vertical="center" wrapText="1"/>
      <protection locked="0"/>
    </xf>
    <xf numFmtId="49" fontId="36" fillId="8" borderId="86" xfId="10" applyNumberFormat="1" applyFont="1" applyFill="1" applyBorder="1" applyAlignment="1" applyProtection="1">
      <alignment horizontal="left" vertical="center" wrapText="1"/>
      <protection locked="0"/>
    </xf>
    <xf numFmtId="49" fontId="36" fillId="8" borderId="149" xfId="10" applyNumberFormat="1" applyFont="1" applyFill="1" applyBorder="1" applyAlignment="1" applyProtection="1">
      <alignment horizontal="center" vertical="center" wrapText="1"/>
      <protection locked="0"/>
    </xf>
    <xf numFmtId="49" fontId="40" fillId="8" borderId="113" xfId="10" applyNumberFormat="1" applyFont="1" applyFill="1" applyBorder="1" applyAlignment="1" applyProtection="1">
      <alignment horizontal="left" vertical="center" wrapText="1"/>
      <protection locked="0"/>
    </xf>
    <xf numFmtId="49" fontId="36" fillId="0" borderId="109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110" xfId="0" applyBorder="1" applyAlignment="1">
      <alignment horizontal="center" vertical="center" wrapText="1"/>
    </xf>
    <xf numFmtId="49" fontId="36" fillId="0" borderId="101" xfId="10" applyNumberFormat="1" applyFont="1" applyFill="1" applyBorder="1" applyAlignment="1" applyProtection="1">
      <alignment vertical="center" wrapText="1"/>
      <protection locked="0"/>
    </xf>
    <xf numFmtId="0" fontId="0" fillId="0" borderId="107" xfId="0" applyBorder="1" applyAlignment="1">
      <alignment vertical="center" wrapText="1"/>
    </xf>
    <xf numFmtId="0" fontId="0" fillId="0" borderId="102" xfId="0" applyBorder="1" applyAlignment="1">
      <alignment vertical="center" wrapText="1"/>
    </xf>
    <xf numFmtId="49" fontId="40" fillId="0" borderId="83" xfId="10" applyNumberFormat="1" applyFont="1" applyFill="1" applyBorder="1" applyAlignment="1" applyProtection="1">
      <alignment horizontal="center" vertical="center" wrapText="1"/>
      <protection locked="0"/>
    </xf>
    <xf numFmtId="49" fontId="40" fillId="0" borderId="84" xfId="10" applyNumberFormat="1" applyFont="1" applyFill="1" applyBorder="1" applyAlignment="1" applyProtection="1">
      <alignment horizontal="center" vertical="center" wrapText="1"/>
      <protection locked="0"/>
    </xf>
    <xf numFmtId="0" fontId="36" fillId="0" borderId="111" xfId="10" applyNumberFormat="1" applyFont="1" applyFill="1" applyBorder="1" applyAlignment="1" applyProtection="1">
      <alignment horizontal="center" vertical="center"/>
      <protection locked="0"/>
    </xf>
    <xf numFmtId="0" fontId="36" fillId="0" borderId="116" xfId="10" applyNumberFormat="1" applyFont="1" applyFill="1" applyBorder="1" applyAlignment="1" applyProtection="1">
      <alignment horizontal="center" vertical="center"/>
      <protection locked="0"/>
    </xf>
    <xf numFmtId="0" fontId="36" fillId="0" borderId="112" xfId="10" applyNumberFormat="1" applyFont="1" applyFill="1" applyBorder="1" applyAlignment="1" applyProtection="1">
      <alignment horizontal="center" vertical="center"/>
      <protection locked="0"/>
    </xf>
    <xf numFmtId="49" fontId="36" fillId="0" borderId="82" xfId="10" applyNumberFormat="1" applyFont="1" applyFill="1" applyBorder="1" applyAlignment="1" applyProtection="1">
      <alignment horizontal="left" vertical="center" wrapText="1"/>
      <protection locked="0"/>
    </xf>
    <xf numFmtId="49" fontId="36" fillId="8" borderId="118" xfId="10" applyNumberFormat="1" applyFont="1" applyFill="1" applyBorder="1" applyAlignment="1" applyProtection="1">
      <alignment horizontal="left" vertical="center" wrapText="1"/>
      <protection locked="0"/>
    </xf>
    <xf numFmtId="49" fontId="36" fillId="8" borderId="119" xfId="10" applyNumberFormat="1" applyFont="1" applyFill="1" applyBorder="1" applyAlignment="1" applyProtection="1">
      <alignment horizontal="left" vertical="center" wrapText="1"/>
      <protection locked="0"/>
    </xf>
    <xf numFmtId="49" fontId="41" fillId="0" borderId="82" xfId="10" applyNumberFormat="1" applyFont="1" applyFill="1" applyBorder="1" applyAlignment="1" applyProtection="1">
      <alignment horizontal="center" vertical="center" wrapText="1"/>
      <protection locked="0"/>
    </xf>
    <xf numFmtId="49" fontId="41" fillId="0" borderId="90" xfId="10" applyNumberFormat="1" applyFont="1" applyFill="1" applyBorder="1" applyAlignment="1" applyProtection="1">
      <alignment horizontal="center" vertical="center" wrapText="1"/>
      <protection locked="0"/>
    </xf>
    <xf numFmtId="49" fontId="41" fillId="0" borderId="146" xfId="10" applyNumberFormat="1" applyFont="1" applyFill="1" applyBorder="1" applyAlignment="1" applyProtection="1">
      <alignment horizontal="center" vertical="center" wrapText="1"/>
      <protection locked="0"/>
    </xf>
    <xf numFmtId="49" fontId="41" fillId="0" borderId="0" xfId="10" applyNumberFormat="1" applyFont="1" applyFill="1" applyBorder="1" applyAlignment="1" applyProtection="1">
      <alignment horizontal="center" vertical="center" wrapText="1"/>
      <protection locked="0"/>
    </xf>
    <xf numFmtId="49" fontId="41" fillId="0" borderId="88" xfId="10" applyNumberFormat="1" applyFont="1" applyFill="1" applyBorder="1" applyAlignment="1" applyProtection="1">
      <alignment horizontal="center" vertical="center" wrapText="1"/>
      <protection locked="0"/>
    </xf>
    <xf numFmtId="49" fontId="41" fillId="0" borderId="89" xfId="10" applyNumberFormat="1" applyFont="1" applyFill="1" applyBorder="1" applyAlignment="1" applyProtection="1">
      <alignment horizontal="center" vertical="center" wrapText="1"/>
      <protection locked="0"/>
    </xf>
    <xf numFmtId="49" fontId="36" fillId="0" borderId="109" xfId="10" applyNumberFormat="1" applyFont="1" applyFill="1" applyBorder="1" applyAlignment="1" applyProtection="1">
      <alignment horizontal="left" vertical="center" wrapText="1"/>
      <protection locked="0"/>
    </xf>
    <xf numFmtId="49" fontId="41" fillId="0" borderId="149" xfId="10" applyNumberFormat="1" applyFont="1" applyFill="1" applyBorder="1" applyAlignment="1" applyProtection="1">
      <alignment horizontal="center" vertical="center" wrapText="1"/>
      <protection locked="0"/>
    </xf>
    <xf numFmtId="49" fontId="41" fillId="0" borderId="1" xfId="10" applyNumberFormat="1" applyFont="1" applyFill="1" applyBorder="1" applyAlignment="1" applyProtection="1">
      <alignment horizontal="center" vertical="center" wrapText="1"/>
      <protection locked="0"/>
    </xf>
    <xf numFmtId="49" fontId="40" fillId="8" borderId="102" xfId="10" applyNumberFormat="1" applyFont="1" applyFill="1" applyBorder="1" applyAlignment="1" applyProtection="1">
      <alignment horizontal="left" vertical="center" wrapText="1"/>
      <protection locked="0"/>
    </xf>
    <xf numFmtId="49" fontId="40" fillId="5" borderId="83" xfId="10" applyNumberFormat="1" applyFont="1" applyFill="1" applyBorder="1" applyAlignment="1" applyProtection="1">
      <alignment horizontal="center" vertical="center" wrapText="1"/>
      <protection locked="0"/>
    </xf>
    <xf numFmtId="49" fontId="40" fillId="14" borderId="79" xfId="10" applyNumberFormat="1" applyFont="1" applyFill="1" applyBorder="1" applyAlignment="1" applyProtection="1">
      <alignment horizontal="left" vertical="center" wrapText="1"/>
      <protection locked="0"/>
    </xf>
    <xf numFmtId="49" fontId="40" fillId="14" borderId="146" xfId="10" applyNumberFormat="1" applyFont="1" applyFill="1" applyBorder="1" applyAlignment="1" applyProtection="1">
      <alignment horizontal="center" vertical="center" wrapText="1"/>
      <protection locked="0"/>
    </xf>
    <xf numFmtId="49" fontId="42" fillId="14" borderId="79" xfId="10" applyNumberFormat="1" applyFont="1" applyFill="1" applyBorder="1" applyAlignment="1" applyProtection="1">
      <alignment horizontal="left" vertical="center" wrapText="1"/>
      <protection locked="0"/>
    </xf>
    <xf numFmtId="0" fontId="43" fillId="0" borderId="80" xfId="0" applyFont="1" applyBorder="1" applyAlignment="1">
      <alignment horizontal="left" vertical="center" wrapText="1"/>
    </xf>
    <xf numFmtId="49" fontId="41" fillId="10" borderId="89" xfId="10" applyNumberFormat="1" applyFont="1" applyFill="1" applyBorder="1" applyAlignment="1" applyProtection="1">
      <alignment horizontal="center" vertical="center" wrapText="1"/>
      <protection locked="0"/>
    </xf>
    <xf numFmtId="49" fontId="40" fillId="0" borderId="90" xfId="10" applyNumberFormat="1" applyFont="1" applyFill="1" applyBorder="1" applyAlignment="1" applyProtection="1">
      <alignment horizontal="center" vertical="center" wrapText="1"/>
      <protection locked="0"/>
    </xf>
    <xf numFmtId="49" fontId="40" fillId="0" borderId="0" xfId="10" applyNumberFormat="1" applyFont="1" applyFill="1" applyBorder="1" applyAlignment="1" applyProtection="1">
      <alignment horizontal="center" vertical="center" wrapText="1"/>
      <protection locked="0"/>
    </xf>
    <xf numFmtId="49" fontId="40" fillId="0" borderId="87" xfId="10" applyNumberFormat="1" applyFont="1" applyFill="1" applyBorder="1" applyAlignment="1" applyProtection="1">
      <alignment horizontal="center" vertical="center" wrapText="1"/>
      <protection locked="0"/>
    </xf>
    <xf numFmtId="49" fontId="40" fillId="0" borderId="148" xfId="10" applyNumberFormat="1" applyFont="1" applyFill="1" applyBorder="1" applyAlignment="1" applyProtection="1">
      <alignment horizontal="center" vertical="center" wrapText="1"/>
      <protection locked="0"/>
    </xf>
    <xf numFmtId="49" fontId="40" fillId="0" borderId="92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101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102" xfId="0" applyBorder="1" applyAlignment="1">
      <alignment horizontal="left" vertical="center" wrapText="1"/>
    </xf>
    <xf numFmtId="0" fontId="36" fillId="0" borderId="84" xfId="10" applyNumberFormat="1" applyFont="1" applyFill="1" applyBorder="1" applyAlignment="1" applyProtection="1">
      <alignment horizontal="left" vertical="center"/>
      <protection locked="0"/>
    </xf>
    <xf numFmtId="49" fontId="36" fillId="0" borderId="83" xfId="10" applyNumberFormat="1" applyFont="1" applyFill="1" applyBorder="1" applyAlignment="1" applyProtection="1">
      <alignment horizontal="left" vertical="center" wrapText="1"/>
      <protection locked="0"/>
    </xf>
    <xf numFmtId="0" fontId="36" fillId="0" borderId="149" xfId="10" applyNumberFormat="1" applyFont="1" applyFill="1" applyBorder="1" applyAlignment="1" applyProtection="1">
      <alignment horizontal="center" vertical="center"/>
      <protection locked="0"/>
    </xf>
    <xf numFmtId="0" fontId="36" fillId="0" borderId="0" xfId="10" applyNumberFormat="1" applyFont="1" applyFill="1" applyBorder="1" applyAlignment="1" applyProtection="1">
      <alignment horizontal="center" vertical="center"/>
      <protection locked="0"/>
    </xf>
    <xf numFmtId="0" fontId="36" fillId="0" borderId="1" xfId="10" applyNumberFormat="1" applyFont="1" applyFill="1" applyBorder="1" applyAlignment="1" applyProtection="1">
      <alignment horizontal="center" vertical="center"/>
      <protection locked="0"/>
    </xf>
    <xf numFmtId="49" fontId="36" fillId="8" borderId="121" xfId="10" applyNumberFormat="1" applyFont="1" applyFill="1" applyBorder="1" applyAlignment="1" applyProtection="1">
      <alignment horizontal="left" vertical="center" wrapText="1"/>
      <protection locked="0"/>
    </xf>
    <xf numFmtId="49" fontId="36" fillId="8" borderId="104" xfId="10" applyNumberFormat="1" applyFont="1" applyFill="1" applyBorder="1" applyAlignment="1" applyProtection="1">
      <alignment horizontal="left" vertical="center" wrapText="1"/>
      <protection locked="0"/>
    </xf>
    <xf numFmtId="49" fontId="36" fillId="0" borderId="121" xfId="10" applyNumberFormat="1" applyFont="1" applyFill="1" applyBorder="1" applyAlignment="1" applyProtection="1">
      <alignment horizontal="left" vertical="center" wrapText="1"/>
      <protection locked="0"/>
    </xf>
    <xf numFmtId="49" fontId="36" fillId="0" borderId="104" xfId="10" applyNumberFormat="1" applyFont="1" applyFill="1" applyBorder="1" applyAlignment="1" applyProtection="1">
      <alignment horizontal="left" vertical="center" wrapText="1"/>
      <protection locked="0"/>
    </xf>
    <xf numFmtId="49" fontId="36" fillId="0" borderId="118" xfId="10" applyNumberFormat="1" applyFont="1" applyFill="1" applyBorder="1" applyAlignment="1" applyProtection="1">
      <alignment horizontal="left" vertical="center" wrapText="1"/>
      <protection locked="0"/>
    </xf>
    <xf numFmtId="49" fontId="36" fillId="0" borderId="119" xfId="10" applyNumberFormat="1" applyFont="1" applyFill="1" applyBorder="1" applyAlignment="1" applyProtection="1">
      <alignment horizontal="left" vertical="center" wrapText="1"/>
      <protection locked="0"/>
    </xf>
    <xf numFmtId="0" fontId="42" fillId="0" borderId="101" xfId="10" applyNumberFormat="1" applyFont="1" applyFill="1" applyBorder="1" applyAlignment="1" applyProtection="1">
      <alignment horizontal="left" vertical="center"/>
      <protection locked="0"/>
    </xf>
    <xf numFmtId="0" fontId="42" fillId="0" borderId="120" xfId="10" applyNumberFormat="1" applyFont="1" applyFill="1" applyBorder="1" applyAlignment="1" applyProtection="1">
      <alignment horizontal="left" vertical="center"/>
      <protection locked="0"/>
    </xf>
    <xf numFmtId="49" fontId="42" fillId="8" borderId="121" xfId="10" applyNumberFormat="1" applyFont="1" applyFill="1" applyBorder="1" applyAlignment="1" applyProtection="1">
      <alignment horizontal="left" vertical="center" wrapText="1"/>
      <protection locked="0"/>
    </xf>
    <xf numFmtId="49" fontId="42" fillId="8" borderId="104" xfId="10" applyNumberFormat="1" applyFont="1" applyFill="1" applyBorder="1" applyAlignment="1" applyProtection="1">
      <alignment horizontal="left" vertical="center" wrapText="1"/>
      <protection locked="0"/>
    </xf>
    <xf numFmtId="0" fontId="42" fillId="0" borderId="88" xfId="10" applyNumberFormat="1" applyFont="1" applyFill="1" applyBorder="1" applyAlignment="1" applyProtection="1">
      <alignment horizontal="left" vertical="center"/>
      <protection locked="0"/>
    </xf>
    <xf numFmtId="0" fontId="42" fillId="0" borderId="89" xfId="10" applyNumberFormat="1" applyFont="1" applyFill="1" applyBorder="1" applyAlignment="1" applyProtection="1">
      <alignment horizontal="left" vertical="center"/>
      <protection locked="0"/>
    </xf>
    <xf numFmtId="49" fontId="40" fillId="19" borderId="79" xfId="10" applyNumberFormat="1" applyFont="1" applyFill="1" applyBorder="1" applyAlignment="1" applyProtection="1">
      <alignment horizontal="center" vertical="center" wrapText="1"/>
      <protection locked="0"/>
    </xf>
    <xf numFmtId="49" fontId="40" fillId="19" borderId="80" xfId="10" applyNumberFormat="1" applyFont="1" applyFill="1" applyBorder="1" applyAlignment="1" applyProtection="1">
      <alignment horizontal="center" vertical="center" wrapText="1"/>
      <protection locked="0"/>
    </xf>
    <xf numFmtId="49" fontId="42" fillId="0" borderId="82" xfId="10" applyNumberFormat="1" applyFont="1" applyFill="1" applyBorder="1" applyAlignment="1" applyProtection="1">
      <alignment horizontal="left" vertical="center" wrapText="1"/>
      <protection locked="0"/>
    </xf>
    <xf numFmtId="49" fontId="42" fillId="0" borderId="80" xfId="10" applyNumberFormat="1" applyFont="1" applyFill="1" applyBorder="1" applyAlignment="1" applyProtection="1">
      <alignment horizontal="left" vertical="center" wrapText="1"/>
      <protection locked="0"/>
    </xf>
    <xf numFmtId="49" fontId="36" fillId="14" borderId="146" xfId="10" applyNumberFormat="1" applyFont="1" applyFill="1" applyBorder="1" applyAlignment="1" applyProtection="1">
      <alignment horizontal="center" vertical="center" wrapText="1"/>
      <protection locked="0"/>
    </xf>
    <xf numFmtId="49" fontId="36" fillId="14" borderId="84" xfId="10" applyNumberFormat="1" applyFont="1" applyFill="1" applyBorder="1" applyAlignment="1" applyProtection="1">
      <alignment horizontal="center" vertical="center" wrapText="1"/>
      <protection locked="0"/>
    </xf>
    <xf numFmtId="49" fontId="40" fillId="9" borderId="82" xfId="10" applyNumberFormat="1" applyFont="1" applyFill="1" applyBorder="1" applyAlignment="1" applyProtection="1">
      <alignment horizontal="center" vertical="center" wrapText="1"/>
      <protection locked="0"/>
    </xf>
    <xf numFmtId="49" fontId="40" fillId="9" borderId="83" xfId="10" applyNumberFormat="1" applyFont="1" applyFill="1" applyBorder="1" applyAlignment="1" applyProtection="1">
      <alignment horizontal="center" vertical="center" wrapText="1"/>
      <protection locked="0"/>
    </xf>
    <xf numFmtId="0" fontId="7" fillId="0" borderId="101" xfId="1" applyFont="1" applyFill="1" applyBorder="1" applyAlignment="1">
      <alignment horizontal="left" vertical="center"/>
    </xf>
    <xf numFmtId="0" fontId="36" fillId="0" borderId="107" xfId="10" applyNumberFormat="1" applyFont="1" applyFill="1" applyBorder="1" applyAlignment="1" applyProtection="1">
      <alignment horizontal="left" vertical="center"/>
      <protection locked="0"/>
    </xf>
    <xf numFmtId="0" fontId="36" fillId="0" borderId="102" xfId="10" applyNumberFormat="1" applyFont="1" applyFill="1" applyBorder="1" applyAlignment="1" applyProtection="1">
      <alignment horizontal="left" vertical="center"/>
      <protection locked="0"/>
    </xf>
    <xf numFmtId="0" fontId="9" fillId="11" borderId="101" xfId="1" applyFont="1" applyFill="1" applyBorder="1" applyAlignment="1">
      <alignment horizontal="left" vertical="center"/>
    </xf>
    <xf numFmtId="0" fontId="41" fillId="11" borderId="107" xfId="10" applyNumberFormat="1" applyFont="1" applyFill="1" applyBorder="1" applyAlignment="1" applyProtection="1">
      <alignment horizontal="left" vertical="center"/>
      <protection locked="0"/>
    </xf>
    <xf numFmtId="0" fontId="41" fillId="11" borderId="102" xfId="10" applyNumberFormat="1" applyFont="1" applyFill="1" applyBorder="1" applyAlignment="1" applyProtection="1">
      <alignment horizontal="left" vertical="center"/>
      <protection locked="0"/>
    </xf>
    <xf numFmtId="0" fontId="8" fillId="0" borderId="101" xfId="1" applyFont="1" applyFill="1" applyBorder="1" applyAlignment="1">
      <alignment horizontal="left" vertical="center" wrapText="1"/>
    </xf>
    <xf numFmtId="0" fontId="42" fillId="0" borderId="107" xfId="10" applyNumberFormat="1" applyFont="1" applyFill="1" applyBorder="1" applyAlignment="1" applyProtection="1">
      <alignment horizontal="left" vertical="center"/>
      <protection locked="0"/>
    </xf>
    <xf numFmtId="0" fontId="42" fillId="0" borderId="102" xfId="10" applyNumberFormat="1" applyFont="1" applyFill="1" applyBorder="1" applyAlignment="1" applyProtection="1">
      <alignment horizontal="left" vertical="center"/>
      <protection locked="0"/>
    </xf>
    <xf numFmtId="0" fontId="8" fillId="0" borderId="101" xfId="1" applyFont="1" applyFill="1" applyBorder="1" applyAlignment="1">
      <alignment horizontal="left" vertical="center"/>
    </xf>
    <xf numFmtId="0" fontId="7" fillId="0" borderId="101" xfId="1" applyFont="1" applyFill="1" applyBorder="1" applyAlignment="1">
      <alignment horizontal="left" vertical="center" wrapText="1"/>
    </xf>
    <xf numFmtId="49" fontId="36" fillId="8" borderId="123" xfId="10" applyNumberFormat="1" applyFont="1" applyFill="1" applyBorder="1" applyAlignment="1" applyProtection="1">
      <alignment horizontal="left" vertical="center" wrapText="1"/>
      <protection locked="0"/>
    </xf>
    <xf numFmtId="49" fontId="40" fillId="9" borderId="177" xfId="10" applyNumberFormat="1" applyFont="1" applyFill="1" applyBorder="1" applyAlignment="1" applyProtection="1">
      <alignment horizontal="center" vertical="center" wrapText="1"/>
      <protection locked="0"/>
    </xf>
    <xf numFmtId="49" fontId="40" fillId="8" borderId="0" xfId="10" applyNumberFormat="1" applyFont="1" applyFill="1" applyBorder="1" applyAlignment="1" applyProtection="1">
      <alignment horizontal="center" vertical="center" wrapText="1"/>
      <protection locked="0"/>
    </xf>
    <xf numFmtId="49" fontId="40" fillId="8" borderId="1" xfId="10" applyNumberFormat="1" applyFont="1" applyFill="1" applyBorder="1" applyAlignment="1" applyProtection="1">
      <alignment horizontal="center" vertical="center" wrapText="1"/>
      <protection locked="0"/>
    </xf>
    <xf numFmtId="49" fontId="40" fillId="19" borderId="177" xfId="10" applyNumberFormat="1" applyFont="1" applyFill="1" applyBorder="1" applyAlignment="1" applyProtection="1">
      <alignment horizontal="center" vertical="top" wrapText="1"/>
      <protection locked="0"/>
    </xf>
    <xf numFmtId="49" fontId="9" fillId="11" borderId="177" xfId="1" applyNumberFormat="1" applyFont="1" applyFill="1" applyBorder="1" applyAlignment="1">
      <alignment horizontal="left" vertical="center"/>
    </xf>
    <xf numFmtId="49" fontId="41" fillId="10" borderId="107" xfId="10" applyNumberFormat="1" applyFont="1" applyFill="1" applyBorder="1" applyAlignment="1" applyProtection="1">
      <alignment horizontal="center" vertical="center" wrapText="1"/>
      <protection locked="0"/>
    </xf>
    <xf numFmtId="49" fontId="41" fillId="10" borderId="102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116" xfId="10" applyNumberFormat="1" applyFont="1" applyFill="1" applyBorder="1" applyAlignment="1" applyProtection="1">
      <alignment horizontal="center" vertical="center" wrapText="1"/>
      <protection locked="0"/>
    </xf>
    <xf numFmtId="49" fontId="36" fillId="8" borderId="112" xfId="10" applyNumberFormat="1" applyFont="1" applyFill="1" applyBorder="1" applyAlignment="1" applyProtection="1">
      <alignment horizontal="center" vertical="center" wrapText="1"/>
      <protection locked="0"/>
    </xf>
    <xf numFmtId="49" fontId="40" fillId="0" borderId="110" xfId="10" applyNumberFormat="1" applyFont="1" applyFill="1" applyBorder="1" applyAlignment="1" applyProtection="1">
      <alignment horizontal="left" vertical="center" wrapText="1"/>
      <protection locked="0"/>
    </xf>
    <xf numFmtId="49" fontId="40" fillId="0" borderId="89" xfId="10" applyNumberFormat="1" applyFont="1" applyFill="1" applyBorder="1" applyAlignment="1" applyProtection="1">
      <alignment horizontal="left" vertical="center" wrapText="1"/>
      <protection locked="0"/>
    </xf>
    <xf numFmtId="49" fontId="36" fillId="0" borderId="122" xfId="10" applyNumberFormat="1" applyFont="1" applyFill="1" applyBorder="1" applyAlignment="1" applyProtection="1">
      <alignment horizontal="left" vertical="center" wrapText="1"/>
      <protection locked="0"/>
    </xf>
    <xf numFmtId="0" fontId="42" fillId="0" borderId="110" xfId="10" applyNumberFormat="1" applyFont="1" applyFill="1" applyBorder="1" applyAlignment="1" applyProtection="1">
      <alignment horizontal="left" vertical="center"/>
      <protection locked="0"/>
    </xf>
    <xf numFmtId="49" fontId="42" fillId="8" borderId="113" xfId="10" applyNumberFormat="1" applyFont="1" applyFill="1" applyBorder="1" applyAlignment="1" applyProtection="1">
      <alignment horizontal="left" vertical="center" wrapText="1"/>
      <protection locked="0"/>
    </xf>
    <xf numFmtId="49" fontId="36" fillId="0" borderId="123" xfId="10" applyNumberFormat="1" applyFont="1" applyFill="1" applyBorder="1" applyAlignment="1" applyProtection="1">
      <alignment horizontal="left" vertical="center" wrapText="1"/>
      <protection locked="0"/>
    </xf>
    <xf numFmtId="49" fontId="15" fillId="25" borderId="14" xfId="1" applyNumberFormat="1" applyFont="1" applyFill="1" applyBorder="1" applyAlignment="1">
      <alignment horizontal="center" vertical="center"/>
    </xf>
    <xf numFmtId="49" fontId="15" fillId="25" borderId="18" xfId="1" applyNumberFormat="1" applyFont="1" applyFill="1" applyBorder="1" applyAlignment="1">
      <alignment horizontal="center" vertical="center"/>
    </xf>
    <xf numFmtId="49" fontId="15" fillId="25" borderId="35" xfId="1" applyNumberFormat="1" applyFont="1" applyFill="1" applyBorder="1" applyAlignment="1">
      <alignment horizontal="center" vertical="center"/>
    </xf>
    <xf numFmtId="49" fontId="16" fillId="0" borderId="163" xfId="1" applyNumberFormat="1" applyFont="1" applyFill="1" applyBorder="1" applyAlignment="1">
      <alignment horizontal="center" vertical="center"/>
    </xf>
    <xf numFmtId="0" fontId="17" fillId="0" borderId="167" xfId="1" applyFont="1" applyFill="1" applyBorder="1" applyAlignment="1">
      <alignment horizontal="left" vertical="center" wrapText="1"/>
    </xf>
    <xf numFmtId="0" fontId="16" fillId="0" borderId="167" xfId="1" applyFont="1" applyFill="1" applyBorder="1" applyAlignment="1">
      <alignment horizontal="center" vertical="center"/>
    </xf>
    <xf numFmtId="49" fontId="16" fillId="0" borderId="167" xfId="1" applyNumberFormat="1" applyFont="1" applyFill="1" applyBorder="1" applyAlignment="1">
      <alignment horizontal="center" vertical="center"/>
    </xf>
    <xf numFmtId="49" fontId="16" fillId="0" borderId="165" xfId="1" applyNumberFormat="1" applyFont="1" applyFill="1" applyBorder="1" applyAlignment="1">
      <alignment horizontal="center" vertical="center"/>
    </xf>
    <xf numFmtId="0" fontId="17" fillId="0" borderId="166" xfId="1" applyFont="1" applyFill="1" applyBorder="1" applyAlignment="1">
      <alignment horizontal="left" vertical="center" wrapText="1"/>
    </xf>
    <xf numFmtId="0" fontId="16" fillId="0" borderId="166" xfId="1" applyFont="1" applyFill="1" applyBorder="1" applyAlignment="1">
      <alignment horizontal="center" vertical="center"/>
    </xf>
    <xf numFmtId="49" fontId="16" fillId="0" borderId="166" xfId="1" applyNumberFormat="1" applyFont="1" applyFill="1" applyBorder="1" applyAlignment="1">
      <alignment horizontal="center" vertical="center"/>
    </xf>
    <xf numFmtId="49" fontId="16" fillId="0" borderId="33" xfId="1" applyNumberFormat="1" applyFont="1" applyFill="1" applyBorder="1" applyAlignment="1">
      <alignment horizontal="center" vertical="center"/>
    </xf>
    <xf numFmtId="49" fontId="16" fillId="0" borderId="32" xfId="1" applyNumberFormat="1" applyFont="1" applyFill="1" applyBorder="1" applyAlignment="1">
      <alignment horizontal="center" vertical="center"/>
    </xf>
    <xf numFmtId="0" fontId="17" fillId="0" borderId="43" xfId="1" applyFont="1" applyFill="1" applyBorder="1" applyAlignment="1">
      <alignment horizontal="left" vertical="center" wrapText="1"/>
    </xf>
    <xf numFmtId="0" fontId="17" fillId="0" borderId="92" xfId="1" applyFont="1" applyFill="1" applyBorder="1" applyAlignment="1">
      <alignment horizontal="left" vertical="center" wrapText="1"/>
    </xf>
    <xf numFmtId="0" fontId="16" fillId="0" borderId="43" xfId="1" applyFont="1" applyFill="1" applyBorder="1" applyAlignment="1">
      <alignment horizontal="center" vertical="center"/>
    </xf>
    <xf numFmtId="0" fontId="16" fillId="0" borderId="92" xfId="1" applyFont="1" applyFill="1" applyBorder="1" applyAlignment="1">
      <alignment horizontal="center" vertical="center"/>
    </xf>
    <xf numFmtId="49" fontId="16" fillId="0" borderId="43" xfId="1" applyNumberFormat="1" applyFont="1" applyFill="1" applyBorder="1" applyAlignment="1">
      <alignment horizontal="center" vertical="center"/>
    </xf>
    <xf numFmtId="49" fontId="16" fillId="0" borderId="92" xfId="1" applyNumberFormat="1" applyFont="1" applyFill="1" applyBorder="1" applyAlignment="1">
      <alignment horizontal="center" vertical="center"/>
    </xf>
    <xf numFmtId="49" fontId="9" fillId="26" borderId="36" xfId="1" applyNumberFormat="1" applyFont="1" applyFill="1" applyBorder="1" applyAlignment="1">
      <alignment horizontal="left" vertical="center"/>
    </xf>
    <xf numFmtId="49" fontId="15" fillId="0" borderId="32" xfId="1" applyNumberFormat="1" applyFont="1" applyFill="1" applyBorder="1" applyAlignment="1">
      <alignment horizontal="center" vertical="top"/>
    </xf>
    <xf numFmtId="49" fontId="15" fillId="0" borderId="92" xfId="1" applyNumberFormat="1" applyFont="1" applyFill="1" applyBorder="1" applyAlignment="1">
      <alignment horizontal="center" vertical="top"/>
    </xf>
    <xf numFmtId="49" fontId="15" fillId="0" borderId="139" xfId="1" applyNumberFormat="1" applyFont="1" applyFill="1" applyBorder="1" applyAlignment="1">
      <alignment horizontal="center" vertical="top"/>
    </xf>
    <xf numFmtId="49" fontId="16" fillId="0" borderId="169" xfId="1" applyNumberFormat="1" applyFont="1" applyFill="1" applyBorder="1" applyAlignment="1">
      <alignment horizontal="center" vertical="center"/>
    </xf>
    <xf numFmtId="0" fontId="17" fillId="0" borderId="158" xfId="1" applyFont="1" applyFill="1" applyBorder="1" applyAlignment="1">
      <alignment horizontal="left" vertical="center" wrapText="1"/>
    </xf>
    <xf numFmtId="0" fontId="16" fillId="0" borderId="158" xfId="1" applyFont="1" applyFill="1" applyBorder="1" applyAlignment="1">
      <alignment horizontal="center" vertical="center"/>
    </xf>
    <xf numFmtId="49" fontId="16" fillId="0" borderId="158" xfId="1" applyNumberFormat="1" applyFont="1" applyFill="1" applyBorder="1" applyAlignment="1">
      <alignment horizontal="center" vertical="center"/>
    </xf>
    <xf numFmtId="0" fontId="74" fillId="0" borderId="0" xfId="1" applyFont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70" fillId="0" borderId="0" xfId="1" applyFont="1" applyBorder="1" applyAlignment="1">
      <alignment horizontal="right" vertical="center"/>
    </xf>
    <xf numFmtId="0" fontId="71" fillId="25" borderId="48" xfId="1" applyFont="1" applyFill="1" applyBorder="1" applyAlignment="1">
      <alignment horizontal="center" vertical="center"/>
    </xf>
    <xf numFmtId="0" fontId="71" fillId="25" borderId="163" xfId="1" applyFont="1" applyFill="1" applyBorder="1" applyAlignment="1">
      <alignment horizontal="center" vertical="center"/>
    </xf>
    <xf numFmtId="0" fontId="71" fillId="25" borderId="47" xfId="1" applyFont="1" applyFill="1" applyBorder="1" applyAlignment="1">
      <alignment horizontal="center" vertical="center"/>
    </xf>
    <xf numFmtId="0" fontId="71" fillId="25" borderId="158" xfId="1" applyFont="1" applyFill="1" applyBorder="1" applyAlignment="1">
      <alignment horizontal="center" vertical="center"/>
    </xf>
    <xf numFmtId="0" fontId="72" fillId="25" borderId="47" xfId="1" applyFont="1" applyFill="1" applyBorder="1" applyAlignment="1">
      <alignment horizontal="center" vertical="center"/>
    </xf>
    <xf numFmtId="0" fontId="71" fillId="25" borderId="47" xfId="1" applyFont="1" applyFill="1" applyBorder="1" applyAlignment="1">
      <alignment horizontal="center" vertical="center" wrapText="1"/>
    </xf>
    <xf numFmtId="0" fontId="71" fillId="25" borderId="158" xfId="1" applyFont="1" applyFill="1" applyBorder="1" applyAlignment="1">
      <alignment horizontal="center" vertical="center" wrapText="1"/>
    </xf>
    <xf numFmtId="0" fontId="72" fillId="25" borderId="47" xfId="1" applyFont="1" applyFill="1" applyBorder="1" applyAlignment="1">
      <alignment horizontal="center" vertical="center" wrapText="1"/>
    </xf>
    <xf numFmtId="0" fontId="73" fillId="25" borderId="47" xfId="1" applyFont="1" applyFill="1" applyBorder="1" applyAlignment="1">
      <alignment horizontal="center" vertical="center" wrapText="1"/>
    </xf>
    <xf numFmtId="0" fontId="73" fillId="25" borderId="158" xfId="1" applyFont="1" applyFill="1" applyBorder="1" applyAlignment="1">
      <alignment horizontal="center" vertical="center" wrapText="1"/>
    </xf>
    <xf numFmtId="0" fontId="73" fillId="25" borderId="47" xfId="1" applyFont="1" applyFill="1" applyBorder="1" applyAlignment="1">
      <alignment horizontal="center" vertical="center"/>
    </xf>
    <xf numFmtId="0" fontId="73" fillId="25" borderId="8" xfId="1" applyFont="1" applyFill="1" applyBorder="1" applyAlignment="1">
      <alignment horizontal="center" vertical="center"/>
    </xf>
    <xf numFmtId="49" fontId="16" fillId="0" borderId="64" xfId="1" applyNumberFormat="1" applyFont="1" applyFill="1" applyBorder="1" applyAlignment="1">
      <alignment horizontal="center" vertical="center"/>
    </xf>
    <xf numFmtId="0" fontId="17" fillId="0" borderId="65" xfId="1" applyFont="1" applyFill="1" applyBorder="1" applyAlignment="1">
      <alignment horizontal="left" vertical="center" wrapText="1"/>
    </xf>
    <xf numFmtId="0" fontId="16" fillId="0" borderId="65" xfId="1" applyFont="1" applyFill="1" applyBorder="1" applyAlignment="1">
      <alignment horizontal="center" vertical="center"/>
    </xf>
    <xf numFmtId="49" fontId="16" fillId="0" borderId="65" xfId="1" applyNumberFormat="1" applyFont="1" applyFill="1" applyBorder="1" applyAlignment="1">
      <alignment horizontal="center" vertical="center"/>
    </xf>
    <xf numFmtId="49" fontId="9" fillId="26" borderId="47" xfId="1" applyNumberFormat="1" applyFont="1" applyFill="1" applyBorder="1" applyAlignment="1">
      <alignment horizontal="left" vertical="center"/>
    </xf>
    <xf numFmtId="49" fontId="15" fillId="0" borderId="163" xfId="1" applyNumberFormat="1" applyFont="1" applyFill="1" applyBorder="1" applyAlignment="1">
      <alignment horizontal="center" vertical="top"/>
    </xf>
    <xf numFmtId="49" fontId="15" fillId="0" borderId="167" xfId="1" applyNumberFormat="1" applyFont="1" applyFill="1" applyBorder="1" applyAlignment="1">
      <alignment horizontal="center" vertical="top"/>
    </xf>
    <xf numFmtId="49" fontId="15" fillId="0" borderId="164" xfId="1" applyNumberFormat="1" applyFont="1" applyFill="1" applyBorder="1" applyAlignment="1">
      <alignment horizontal="center" vertical="top"/>
    </xf>
    <xf numFmtId="49" fontId="9" fillId="26" borderId="92" xfId="1" applyNumberFormat="1" applyFont="1" applyFill="1" applyBorder="1" applyAlignment="1">
      <alignment horizontal="left" vertical="center"/>
    </xf>
    <xf numFmtId="0" fontId="16" fillId="0" borderId="173" xfId="1" applyFont="1" applyFill="1" applyBorder="1" applyAlignment="1">
      <alignment horizontal="center" vertical="center"/>
    </xf>
    <xf numFmtId="0" fontId="16" fillId="0" borderId="51" xfId="1" applyFont="1" applyFill="1" applyBorder="1" applyAlignment="1">
      <alignment horizontal="center" vertical="center"/>
    </xf>
    <xf numFmtId="0" fontId="16" fillId="0" borderId="114" xfId="1" applyFont="1" applyFill="1" applyBorder="1" applyAlignment="1">
      <alignment horizontal="center" vertical="center"/>
    </xf>
    <xf numFmtId="0" fontId="16" fillId="0" borderId="171" xfId="1" applyFont="1" applyFill="1" applyBorder="1" applyAlignment="1">
      <alignment horizontal="center" vertical="center"/>
    </xf>
    <xf numFmtId="0" fontId="16" fillId="0" borderId="172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 wrapText="1"/>
    </xf>
    <xf numFmtId="0" fontId="71" fillId="25" borderId="167" xfId="1" applyFont="1" applyFill="1" applyBorder="1" applyAlignment="1">
      <alignment horizontal="center" vertical="center"/>
    </xf>
    <xf numFmtId="0" fontId="71" fillId="25" borderId="167" xfId="1" applyFont="1" applyFill="1" applyBorder="1" applyAlignment="1">
      <alignment horizontal="center" vertical="center" wrapText="1"/>
    </xf>
    <xf numFmtId="0" fontId="73" fillId="25" borderId="167" xfId="1" applyFont="1" applyFill="1" applyBorder="1" applyAlignment="1">
      <alignment horizontal="center" vertical="center" wrapText="1"/>
    </xf>
    <xf numFmtId="0" fontId="20" fillId="2" borderId="14" xfId="1" applyFont="1" applyFill="1" applyBorder="1" applyAlignment="1">
      <alignment horizontal="center" vertical="center"/>
    </xf>
    <xf numFmtId="0" fontId="20" fillId="2" borderId="18" xfId="1" applyFont="1" applyFill="1" applyBorder="1" applyAlignment="1">
      <alignment horizontal="center" vertical="center"/>
    </xf>
    <xf numFmtId="0" fontId="20" fillId="2" borderId="17" xfId="1" applyFont="1" applyFill="1" applyBorder="1" applyAlignment="1">
      <alignment horizontal="center" vertical="center"/>
    </xf>
    <xf numFmtId="0" fontId="13" fillId="4" borderId="14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/>
    </xf>
    <xf numFmtId="0" fontId="13" fillId="4" borderId="17" xfId="1" applyFont="1" applyFill="1" applyBorder="1" applyAlignment="1">
      <alignment horizontal="center" vertical="center"/>
    </xf>
    <xf numFmtId="0" fontId="13" fillId="3" borderId="16" xfId="1" applyFont="1" applyFill="1" applyBorder="1" applyAlignment="1">
      <alignment horizontal="center" vertical="center"/>
    </xf>
    <xf numFmtId="0" fontId="13" fillId="3" borderId="18" xfId="1" applyFont="1" applyFill="1" applyBorder="1" applyAlignment="1">
      <alignment horizontal="center" vertical="center"/>
    </xf>
    <xf numFmtId="0" fontId="13" fillId="3" borderId="76" xfId="1" applyFont="1" applyFill="1" applyBorder="1" applyAlignment="1">
      <alignment horizontal="center" vertical="center"/>
    </xf>
    <xf numFmtId="0" fontId="13" fillId="3" borderId="14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25" fillId="0" borderId="0" xfId="1" applyFont="1" applyBorder="1" applyAlignment="1">
      <alignment horizontal="left"/>
    </xf>
    <xf numFmtId="0" fontId="15" fillId="0" borderId="26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13" fillId="4" borderId="14" xfId="1" applyFont="1" applyFill="1" applyBorder="1" applyAlignment="1">
      <alignment horizontal="center" vertical="center" wrapText="1"/>
    </xf>
    <xf numFmtId="0" fontId="13" fillId="4" borderId="17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22" fillId="0" borderId="0" xfId="1" applyFont="1" applyAlignment="1">
      <alignment horizontal="center" wrapText="1"/>
    </xf>
    <xf numFmtId="0" fontId="25" fillId="0" borderId="0" xfId="1" applyFont="1" applyBorder="1" applyAlignment="1">
      <alignment horizontal="left" vertical="center"/>
    </xf>
    <xf numFmtId="0" fontId="15" fillId="0" borderId="13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 wrapText="1"/>
    </xf>
    <xf numFmtId="0" fontId="15" fillId="4" borderId="17" xfId="1" applyFont="1" applyFill="1" applyBorder="1" applyAlignment="1">
      <alignment horizontal="center" vertical="center" wrapText="1"/>
    </xf>
    <xf numFmtId="0" fontId="14" fillId="0" borderId="160" xfId="4" applyFont="1" applyBorder="1" applyAlignment="1">
      <alignment horizontal="center" vertical="center"/>
    </xf>
    <xf numFmtId="0" fontId="14" fillId="0" borderId="43" xfId="4" applyFont="1" applyBorder="1" applyAlignment="1">
      <alignment horizontal="center" vertical="center"/>
    </xf>
    <xf numFmtId="0" fontId="14" fillId="0" borderId="57" xfId="4" applyFont="1" applyBorder="1" applyAlignment="1">
      <alignment horizontal="center" vertical="center"/>
    </xf>
    <xf numFmtId="0" fontId="14" fillId="0" borderId="53" xfId="4" applyFont="1" applyBorder="1" applyAlignment="1">
      <alignment horizontal="center" vertical="center"/>
    </xf>
    <xf numFmtId="0" fontId="5" fillId="0" borderId="0" xfId="1" applyAlignment="1">
      <alignment horizontal="center" wrapText="1"/>
    </xf>
    <xf numFmtId="3" fontId="14" fillId="0" borderId="53" xfId="4" applyNumberFormat="1" applyFont="1" applyBorder="1" applyAlignment="1">
      <alignment horizontal="right" vertical="center"/>
    </xf>
    <xf numFmtId="3" fontId="14" fillId="0" borderId="148" xfId="4" applyNumberFormat="1" applyFont="1" applyBorder="1" applyAlignment="1">
      <alignment horizontal="right" vertical="center"/>
    </xf>
    <xf numFmtId="3" fontId="14" fillId="0" borderId="166" xfId="4" applyNumberFormat="1" applyFont="1" applyBorder="1" applyAlignment="1">
      <alignment horizontal="right" vertical="center"/>
    </xf>
    <xf numFmtId="3" fontId="14" fillId="0" borderId="92" xfId="4" applyNumberFormat="1" applyFont="1" applyBorder="1" applyAlignment="1">
      <alignment horizontal="right" vertical="center"/>
    </xf>
    <xf numFmtId="0" fontId="14" fillId="0" borderId="148" xfId="4" applyFont="1" applyBorder="1" applyAlignment="1">
      <alignment horizontal="center" vertical="center"/>
    </xf>
    <xf numFmtId="0" fontId="14" fillId="0" borderId="166" xfId="4" applyFont="1" applyBorder="1" applyAlignment="1">
      <alignment horizontal="center" vertical="center"/>
    </xf>
    <xf numFmtId="0" fontId="14" fillId="0" borderId="92" xfId="4" applyFont="1" applyBorder="1" applyAlignment="1">
      <alignment horizontal="center" vertical="center"/>
    </xf>
    <xf numFmtId="0" fontId="7" fillId="0" borderId="70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15" fillId="0" borderId="74" xfId="1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/>
    </xf>
    <xf numFmtId="3" fontId="15" fillId="0" borderId="70" xfId="1" applyNumberFormat="1" applyFont="1" applyBorder="1" applyAlignment="1">
      <alignment horizontal="center" vertical="center"/>
    </xf>
    <xf numFmtId="3" fontId="15" fillId="0" borderId="43" xfId="1" applyNumberFormat="1" applyFont="1" applyBorder="1" applyAlignment="1">
      <alignment horizontal="center" vertical="center"/>
    </xf>
    <xf numFmtId="3" fontId="15" fillId="0" borderId="57" xfId="1" applyNumberFormat="1" applyFont="1" applyBorder="1" applyAlignment="1">
      <alignment horizontal="center" vertical="center"/>
    </xf>
    <xf numFmtId="3" fontId="14" fillId="0" borderId="70" xfId="4" applyNumberFormat="1" applyFont="1" applyBorder="1" applyAlignment="1">
      <alignment horizontal="center" vertical="center"/>
    </xf>
    <xf numFmtId="3" fontId="14" fillId="0" borderId="43" xfId="4" applyNumberFormat="1" applyFont="1" applyBorder="1" applyAlignment="1">
      <alignment horizontal="center" vertical="center"/>
    </xf>
    <xf numFmtId="3" fontId="14" fillId="0" borderId="2" xfId="4" applyNumberFormat="1" applyFont="1" applyBorder="1" applyAlignment="1">
      <alignment horizontal="center" vertical="center"/>
    </xf>
    <xf numFmtId="0" fontId="14" fillId="0" borderId="74" xfId="4" applyFont="1" applyBorder="1" applyAlignment="1">
      <alignment horizontal="center" vertical="center"/>
    </xf>
    <xf numFmtId="0" fontId="14" fillId="0" borderId="32" xfId="4" applyFont="1" applyBorder="1" applyAlignment="1">
      <alignment horizontal="center" vertical="center"/>
    </xf>
    <xf numFmtId="0" fontId="10" fillId="0" borderId="70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0" fontId="22" fillId="0" borderId="0" xfId="1" applyFont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 wrapText="1"/>
    </xf>
    <xf numFmtId="0" fontId="13" fillId="3" borderId="17" xfId="1" applyFont="1" applyFill="1" applyBorder="1" applyAlignment="1">
      <alignment horizontal="center" vertical="center" wrapText="1"/>
    </xf>
    <xf numFmtId="3" fontId="13" fillId="3" borderId="7" xfId="1" applyNumberFormat="1" applyFont="1" applyFill="1" applyBorder="1" applyAlignment="1">
      <alignment horizontal="center" vertical="center" wrapText="1"/>
    </xf>
    <xf numFmtId="0" fontId="14" fillId="0" borderId="70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5" fillId="5" borderId="9" xfId="1" applyFont="1" applyFill="1" applyBorder="1" applyAlignment="1">
      <alignment horizontal="center" vertical="center"/>
    </xf>
    <xf numFmtId="0" fontId="15" fillId="5" borderId="33" xfId="1" applyFont="1" applyFill="1" applyBorder="1" applyAlignment="1">
      <alignment horizontal="center" vertical="center"/>
    </xf>
    <xf numFmtId="0" fontId="15" fillId="5" borderId="58" xfId="1" applyFont="1" applyFill="1" applyBorder="1" applyAlignment="1">
      <alignment horizontal="center" vertical="center"/>
    </xf>
    <xf numFmtId="3" fontId="15" fillId="5" borderId="53" xfId="1" applyNumberFormat="1" applyFont="1" applyFill="1" applyBorder="1" applyAlignment="1">
      <alignment horizontal="center" vertical="center"/>
    </xf>
    <xf numFmtId="3" fontId="15" fillId="5" borderId="43" xfId="1" applyNumberFormat="1" applyFont="1" applyFill="1" applyBorder="1" applyAlignment="1">
      <alignment horizontal="center" vertical="center"/>
    </xf>
    <xf numFmtId="3" fontId="15" fillId="5" borderId="57" xfId="1" applyNumberFormat="1" applyFont="1" applyFill="1" applyBorder="1" applyAlignment="1">
      <alignment horizontal="center" vertical="center"/>
    </xf>
    <xf numFmtId="49" fontId="15" fillId="5" borderId="47" xfId="1" applyNumberFormat="1" applyFont="1" applyFill="1" applyBorder="1" applyAlignment="1">
      <alignment horizontal="center" vertical="center"/>
    </xf>
    <xf numFmtId="49" fontId="15" fillId="5" borderId="72" xfId="1" applyNumberFormat="1" applyFont="1" applyFill="1" applyBorder="1" applyAlignment="1">
      <alignment horizontal="center" vertical="center"/>
    </xf>
    <xf numFmtId="49" fontId="15" fillId="5" borderId="65" xfId="1" applyNumberFormat="1" applyFont="1" applyFill="1" applyBorder="1" applyAlignment="1">
      <alignment horizontal="center" vertical="center"/>
    </xf>
    <xf numFmtId="0" fontId="7" fillId="5" borderId="47" xfId="1" applyFont="1" applyFill="1" applyBorder="1" applyAlignment="1">
      <alignment horizontal="left" vertical="center" wrapText="1"/>
    </xf>
    <xf numFmtId="0" fontId="7" fillId="5" borderId="37" xfId="1" applyFont="1" applyFill="1" applyBorder="1" applyAlignment="1">
      <alignment horizontal="left" vertical="center" wrapText="1"/>
    </xf>
    <xf numFmtId="0" fontId="7" fillId="5" borderId="44" xfId="1" applyFont="1" applyFill="1" applyBorder="1" applyAlignment="1">
      <alignment horizontal="left" vertical="center" wrapText="1"/>
    </xf>
    <xf numFmtId="49" fontId="15" fillId="5" borderId="53" xfId="1" applyNumberFormat="1" applyFont="1" applyFill="1" applyBorder="1" applyAlignment="1">
      <alignment horizontal="center" vertical="center"/>
    </xf>
    <xf numFmtId="49" fontId="15" fillId="5" borderId="43" xfId="1" applyNumberFormat="1" applyFont="1" applyFill="1" applyBorder="1" applyAlignment="1">
      <alignment horizontal="center" vertical="center"/>
    </xf>
    <xf numFmtId="49" fontId="15" fillId="5" borderId="57" xfId="1" applyNumberFormat="1" applyFont="1" applyFill="1" applyBorder="1" applyAlignment="1">
      <alignment horizontal="center" vertical="center"/>
    </xf>
    <xf numFmtId="49" fontId="13" fillId="3" borderId="7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49" fontId="15" fillId="0" borderId="47" xfId="1" applyNumberFormat="1" applyFont="1" applyBorder="1" applyAlignment="1">
      <alignment horizontal="center" vertical="center"/>
    </xf>
    <xf numFmtId="49" fontId="15" fillId="0" borderId="40" xfId="1" applyNumberFormat="1" applyFont="1" applyBorder="1" applyAlignment="1">
      <alignment horizontal="center" vertical="center"/>
    </xf>
    <xf numFmtId="49" fontId="15" fillId="0" borderId="47" xfId="1" applyNumberFormat="1" applyFont="1" applyFill="1" applyBorder="1" applyAlignment="1">
      <alignment horizontal="center" vertical="center"/>
    </xf>
    <xf numFmtId="49" fontId="15" fillId="0" borderId="40" xfId="1" applyNumberFormat="1" applyFont="1" applyFill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39" xfId="1" applyFont="1" applyBorder="1" applyAlignment="1">
      <alignment horizontal="left" vertical="center" wrapText="1"/>
    </xf>
    <xf numFmtId="3" fontId="7" fillId="0" borderId="47" xfId="1" applyNumberFormat="1" applyFont="1" applyBorder="1" applyAlignment="1">
      <alignment horizontal="right" vertical="center"/>
    </xf>
    <xf numFmtId="3" fontId="7" fillId="0" borderId="40" xfId="1" applyNumberFormat="1" applyFont="1" applyBorder="1" applyAlignment="1">
      <alignment horizontal="right" vertical="center"/>
    </xf>
    <xf numFmtId="49" fontId="15" fillId="0" borderId="43" xfId="1" applyNumberFormat="1" applyFont="1" applyBorder="1" applyAlignment="1">
      <alignment horizontal="center" vertical="center"/>
    </xf>
    <xf numFmtId="0" fontId="12" fillId="0" borderId="48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7" fillId="0" borderId="0" xfId="1" applyFont="1" applyAlignment="1">
      <alignment horizontal="center" vertical="top"/>
    </xf>
    <xf numFmtId="0" fontId="19" fillId="0" borderId="0" xfId="1" applyFont="1" applyAlignment="1">
      <alignment horizontal="center" vertical="top"/>
    </xf>
    <xf numFmtId="49" fontId="20" fillId="2" borderId="7" xfId="1" applyNumberFormat="1" applyFont="1" applyFill="1" applyBorder="1" applyAlignment="1">
      <alignment horizontal="center" vertical="center"/>
    </xf>
    <xf numFmtId="49" fontId="13" fillId="0" borderId="23" xfId="1" applyNumberFormat="1" applyFont="1" applyBorder="1" applyAlignment="1">
      <alignment horizontal="center" vertical="center"/>
    </xf>
    <xf numFmtId="0" fontId="13" fillId="6" borderId="59" xfId="1" applyFont="1" applyFill="1" applyBorder="1" applyAlignment="1">
      <alignment horizontal="center" vertical="center" wrapText="1"/>
    </xf>
    <xf numFmtId="0" fontId="13" fillId="6" borderId="56" xfId="1" applyFont="1" applyFill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 wrapText="1"/>
    </xf>
    <xf numFmtId="0" fontId="25" fillId="2" borderId="14" xfId="1" applyFont="1" applyFill="1" applyBorder="1" applyAlignment="1">
      <alignment horizontal="center" vertical="center" wrapText="1"/>
    </xf>
    <xf numFmtId="0" fontId="25" fillId="2" borderId="17" xfId="1" applyFont="1" applyFill="1" applyBorder="1" applyAlignment="1">
      <alignment horizontal="center" vertical="center" wrapText="1"/>
    </xf>
    <xf numFmtId="0" fontId="25" fillId="2" borderId="26" xfId="1" applyFont="1" applyFill="1" applyBorder="1" applyAlignment="1">
      <alignment horizontal="center" vertical="center" wrapText="1"/>
    </xf>
    <xf numFmtId="0" fontId="25" fillId="2" borderId="19" xfId="1" applyFont="1" applyFill="1" applyBorder="1" applyAlignment="1">
      <alignment horizontal="center" vertical="center" wrapText="1"/>
    </xf>
    <xf numFmtId="0" fontId="13" fillId="4" borderId="18" xfId="1" applyFont="1" applyFill="1" applyBorder="1" applyAlignment="1">
      <alignment horizontal="center" vertical="center" wrapText="1"/>
    </xf>
    <xf numFmtId="49" fontId="13" fillId="0" borderId="26" xfId="1" applyNumberFormat="1" applyFont="1" applyBorder="1" applyAlignment="1">
      <alignment horizontal="center" vertical="center"/>
    </xf>
    <xf numFmtId="49" fontId="13" fillId="0" borderId="19" xfId="1" applyNumberFormat="1" applyFont="1" applyBorder="1" applyAlignment="1">
      <alignment horizontal="center" vertical="center"/>
    </xf>
    <xf numFmtId="49" fontId="13" fillId="2" borderId="7" xfId="1" applyNumberFormat="1" applyFont="1" applyFill="1" applyBorder="1" applyAlignment="1">
      <alignment horizontal="center" vertical="center"/>
    </xf>
    <xf numFmtId="49" fontId="13" fillId="2" borderId="14" xfId="1" applyNumberFormat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 wrapText="1"/>
    </xf>
    <xf numFmtId="0" fontId="13" fillId="2" borderId="26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49" fontId="13" fillId="0" borderId="22" xfId="1" applyNumberFormat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30" xfId="1" applyFont="1" applyBorder="1" applyAlignment="1">
      <alignment horizontal="center" vertical="center" wrapText="1"/>
    </xf>
    <xf numFmtId="0" fontId="24" fillId="0" borderId="44" xfId="1" applyFont="1" applyBorder="1" applyAlignment="1">
      <alignment horizontal="center" vertical="center" wrapText="1"/>
    </xf>
    <xf numFmtId="49" fontId="13" fillId="3" borderId="14" xfId="1" applyNumberFormat="1" applyFont="1" applyFill="1" applyBorder="1" applyAlignment="1">
      <alignment horizontal="center" vertical="center"/>
    </xf>
    <xf numFmtId="49" fontId="13" fillId="3" borderId="18" xfId="1" applyNumberFormat="1" applyFont="1" applyFill="1" applyBorder="1" applyAlignment="1">
      <alignment horizontal="center" vertical="center"/>
    </xf>
    <xf numFmtId="49" fontId="20" fillId="3" borderId="59" xfId="1" applyNumberFormat="1" applyFont="1" applyFill="1" applyBorder="1" applyAlignment="1">
      <alignment horizontal="center" vertical="center"/>
    </xf>
    <xf numFmtId="49" fontId="20" fillId="3" borderId="36" xfId="1" applyNumberFormat="1" applyFont="1" applyFill="1" applyBorder="1" applyAlignment="1">
      <alignment horizontal="center" vertical="center"/>
    </xf>
    <xf numFmtId="49" fontId="20" fillId="3" borderId="56" xfId="1" applyNumberFormat="1" applyFont="1" applyFill="1" applyBorder="1" applyAlignment="1">
      <alignment horizontal="center" vertical="center"/>
    </xf>
    <xf numFmtId="3" fontId="20" fillId="3" borderId="59" xfId="1" applyNumberFormat="1" applyFont="1" applyFill="1" applyBorder="1" applyAlignment="1">
      <alignment horizontal="right" vertical="center"/>
    </xf>
    <xf numFmtId="3" fontId="20" fillId="3" borderId="38" xfId="1" applyNumberFormat="1" applyFont="1" applyFill="1" applyBorder="1" applyAlignment="1">
      <alignment horizontal="right" vertical="center"/>
    </xf>
    <xf numFmtId="0" fontId="20" fillId="0" borderId="44" xfId="1" applyFont="1" applyBorder="1" applyAlignment="1">
      <alignment horizontal="center" vertical="center" wrapText="1"/>
    </xf>
    <xf numFmtId="0" fontId="13" fillId="3" borderId="13" xfId="1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/>
    </xf>
    <xf numFmtId="0" fontId="13" fillId="3" borderId="26" xfId="1" applyFont="1" applyFill="1" applyBorder="1" applyAlignment="1">
      <alignment horizontal="center" vertical="center"/>
    </xf>
    <xf numFmtId="0" fontId="13" fillId="3" borderId="19" xfId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 wrapText="1"/>
    </xf>
    <xf numFmtId="0" fontId="13" fillId="3" borderId="61" xfId="1" applyFont="1" applyFill="1" applyBorder="1" applyAlignment="1">
      <alignment horizontal="center" vertical="center"/>
    </xf>
    <xf numFmtId="0" fontId="13" fillId="3" borderId="47" xfId="1" applyFont="1" applyFill="1" applyBorder="1" applyAlignment="1">
      <alignment horizontal="center" vertical="center"/>
    </xf>
    <xf numFmtId="0" fontId="13" fillId="3" borderId="60" xfId="1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center" wrapText="1"/>
    </xf>
    <xf numFmtId="49" fontId="13" fillId="0" borderId="23" xfId="1" applyNumberFormat="1" applyFont="1" applyBorder="1" applyAlignment="1">
      <alignment horizontal="center" vertical="center" wrapText="1"/>
    </xf>
    <xf numFmtId="49" fontId="13" fillId="0" borderId="11" xfId="1" applyNumberFormat="1" applyFont="1" applyBorder="1" applyAlignment="1">
      <alignment horizontal="center" vertical="center" wrapText="1"/>
    </xf>
    <xf numFmtId="49" fontId="13" fillId="0" borderId="27" xfId="1" applyNumberFormat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3" fontId="13" fillId="0" borderId="25" xfId="1" applyNumberFormat="1" applyFont="1" applyBorder="1" applyAlignment="1">
      <alignment horizontal="right" vertical="center"/>
    </xf>
    <xf numFmtId="0" fontId="13" fillId="0" borderId="30" xfId="1" applyFont="1" applyBorder="1" applyAlignment="1">
      <alignment horizontal="right" vertical="center"/>
    </xf>
    <xf numFmtId="49" fontId="24" fillId="0" borderId="22" xfId="1" applyNumberFormat="1" applyFont="1" applyBorder="1" applyAlignment="1">
      <alignment horizontal="center" vertical="center" wrapText="1"/>
    </xf>
    <xf numFmtId="49" fontId="24" fillId="0" borderId="23" xfId="1" applyNumberFormat="1" applyFont="1" applyBorder="1" applyAlignment="1">
      <alignment horizontal="center" vertical="center" wrapText="1"/>
    </xf>
    <xf numFmtId="49" fontId="24" fillId="0" borderId="19" xfId="1" applyNumberFormat="1" applyFont="1" applyBorder="1" applyAlignment="1">
      <alignment horizontal="center" vertical="center" wrapText="1"/>
    </xf>
    <xf numFmtId="2" fontId="24" fillId="0" borderId="49" xfId="1" applyNumberFormat="1" applyFont="1" applyBorder="1" applyAlignment="1">
      <alignment horizontal="center" vertical="center"/>
    </xf>
    <xf numFmtId="2" fontId="24" fillId="0" borderId="37" xfId="1" applyNumberFormat="1" applyFont="1" applyBorder="1" applyAlignment="1">
      <alignment horizontal="center" vertical="center"/>
    </xf>
    <xf numFmtId="2" fontId="24" fillId="0" borderId="50" xfId="1" applyNumberFormat="1" applyFont="1" applyBorder="1" applyAlignment="1">
      <alignment horizontal="center" vertical="center"/>
    </xf>
    <xf numFmtId="3" fontId="24" fillId="0" borderId="21" xfId="1" applyNumberFormat="1" applyFont="1" applyBorder="1" applyAlignment="1">
      <alignment horizontal="right" vertical="center"/>
    </xf>
    <xf numFmtId="0" fontId="24" fillId="0" borderId="29" xfId="1" applyFont="1" applyBorder="1" applyAlignment="1">
      <alignment horizontal="right" vertical="center"/>
    </xf>
    <xf numFmtId="0" fontId="31" fillId="4" borderId="49" xfId="1" applyFont="1" applyFill="1" applyBorder="1" applyAlignment="1">
      <alignment horizontal="center" vertical="center"/>
    </xf>
    <xf numFmtId="0" fontId="31" fillId="4" borderId="37" xfId="1" applyFont="1" applyFill="1" applyBorder="1" applyAlignment="1">
      <alignment horizontal="center" vertical="center"/>
    </xf>
    <xf numFmtId="0" fontId="31" fillId="4" borderId="50" xfId="1" applyFont="1" applyFill="1" applyBorder="1" applyAlignment="1">
      <alignment horizontal="center" vertical="center"/>
    </xf>
    <xf numFmtId="3" fontId="32" fillId="0" borderId="21" xfId="1" applyNumberFormat="1" applyFont="1" applyFill="1" applyBorder="1" applyAlignment="1">
      <alignment horizontal="right" vertical="center" wrapText="1"/>
    </xf>
    <xf numFmtId="3" fontId="32" fillId="0" borderId="29" xfId="1" applyNumberFormat="1" applyFont="1" applyFill="1" applyBorder="1" applyAlignment="1">
      <alignment horizontal="right" vertical="center" wrapText="1"/>
    </xf>
    <xf numFmtId="0" fontId="31" fillId="4" borderId="4" xfId="1" applyFont="1" applyFill="1" applyBorder="1" applyAlignment="1">
      <alignment horizontal="center" vertical="center"/>
    </xf>
    <xf numFmtId="0" fontId="31" fillId="4" borderId="44" xfId="1" applyFont="1" applyFill="1" applyBorder="1" applyAlignment="1">
      <alignment horizontal="center" vertical="center"/>
    </xf>
    <xf numFmtId="0" fontId="31" fillId="4" borderId="52" xfId="1" applyFont="1" applyFill="1" applyBorder="1" applyAlignment="1">
      <alignment horizontal="center" vertical="center"/>
    </xf>
    <xf numFmtId="3" fontId="24" fillId="0" borderId="45" xfId="1" applyNumberFormat="1" applyFont="1" applyBorder="1" applyAlignment="1">
      <alignment horizontal="right" vertical="center"/>
    </xf>
    <xf numFmtId="3" fontId="24" fillId="0" borderId="46" xfId="1" applyNumberFormat="1" applyFont="1" applyBorder="1" applyAlignment="1">
      <alignment horizontal="right" vertical="center"/>
    </xf>
    <xf numFmtId="0" fontId="17" fillId="0" borderId="0" xfId="1" applyFont="1" applyAlignment="1">
      <alignment horizontal="center" vertical="center" wrapText="1"/>
    </xf>
    <xf numFmtId="0" fontId="20" fillId="0" borderId="44" xfId="1" applyFont="1" applyFill="1" applyBorder="1" applyAlignment="1">
      <alignment horizontal="center" vertical="center" wrapText="1"/>
    </xf>
    <xf numFmtId="0" fontId="13" fillId="3" borderId="35" xfId="1" applyFont="1" applyFill="1" applyBorder="1" applyAlignment="1">
      <alignment horizontal="center" vertical="center"/>
    </xf>
    <xf numFmtId="0" fontId="13" fillId="3" borderId="36" xfId="1" applyFont="1" applyFill="1" applyBorder="1" applyAlignment="1">
      <alignment horizontal="center" vertical="center"/>
    </xf>
    <xf numFmtId="0" fontId="13" fillId="3" borderId="56" xfId="1" applyFont="1" applyFill="1" applyBorder="1" applyAlignment="1">
      <alignment horizontal="center" vertical="center"/>
    </xf>
    <xf numFmtId="0" fontId="13" fillId="3" borderId="59" xfId="1" applyFont="1" applyFill="1" applyBorder="1" applyAlignment="1">
      <alignment horizontal="center" vertical="center"/>
    </xf>
    <xf numFmtId="0" fontId="13" fillId="3" borderId="38" xfId="1" applyFont="1" applyFill="1" applyBorder="1" applyAlignment="1">
      <alignment horizontal="center" vertical="center"/>
    </xf>
    <xf numFmtId="0" fontId="7" fillId="0" borderId="163" xfId="1" applyFont="1" applyBorder="1" applyAlignment="1">
      <alignment horizontal="center" vertical="center"/>
    </xf>
    <xf numFmtId="3" fontId="7" fillId="0" borderId="170" xfId="1" applyNumberFormat="1" applyFont="1" applyBorder="1" applyAlignment="1">
      <alignment horizontal="left" vertical="center" wrapText="1"/>
    </xf>
    <xf numFmtId="3" fontId="7" fillId="0" borderId="144" xfId="1" applyNumberFormat="1" applyFont="1" applyBorder="1" applyAlignment="1">
      <alignment horizontal="left" vertical="center" wrapText="1"/>
    </xf>
    <xf numFmtId="3" fontId="7" fillId="0" borderId="139" xfId="1" applyNumberFormat="1" applyFont="1" applyBorder="1" applyAlignment="1">
      <alignment horizontal="left" vertical="center" wrapText="1"/>
    </xf>
    <xf numFmtId="0" fontId="7" fillId="0" borderId="167" xfId="1" applyFont="1" applyBorder="1" applyAlignment="1">
      <alignment horizontal="center" vertical="center"/>
    </xf>
    <xf numFmtId="49" fontId="15" fillId="4" borderId="64" xfId="1" applyNumberFormat="1" applyFont="1" applyFill="1" applyBorder="1" applyAlignment="1">
      <alignment horizontal="center" vertical="center"/>
    </xf>
    <xf numFmtId="49" fontId="15" fillId="4" borderId="65" xfId="1" applyNumberFormat="1" applyFont="1" applyFill="1" applyBorder="1" applyAlignment="1">
      <alignment horizontal="center" vertical="center"/>
    </xf>
    <xf numFmtId="49" fontId="15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horizontal="left" vertical="center" wrapText="1"/>
    </xf>
    <xf numFmtId="0" fontId="15" fillId="4" borderId="48" xfId="1" applyFont="1" applyFill="1" applyBorder="1" applyAlignment="1">
      <alignment horizontal="center" vertical="center"/>
    </xf>
    <xf numFmtId="0" fontId="15" fillId="4" borderId="163" xfId="1" applyFont="1" applyFill="1" applyBorder="1" applyAlignment="1">
      <alignment horizontal="center" vertical="center"/>
    </xf>
    <xf numFmtId="0" fontId="15" fillId="4" borderId="47" xfId="1" applyFont="1" applyFill="1" applyBorder="1" applyAlignment="1">
      <alignment horizontal="center" vertical="center"/>
    </xf>
    <xf numFmtId="0" fontId="15" fillId="4" borderId="167" xfId="1" applyFont="1" applyFill="1" applyBorder="1" applyAlignment="1">
      <alignment horizontal="center" vertical="center"/>
    </xf>
    <xf numFmtId="0" fontId="15" fillId="4" borderId="47" xfId="1" applyFont="1" applyFill="1" applyBorder="1" applyAlignment="1">
      <alignment horizontal="center" vertical="center" wrapText="1"/>
    </xf>
    <xf numFmtId="0" fontId="15" fillId="4" borderId="167" xfId="1" applyFont="1" applyFill="1" applyBorder="1" applyAlignment="1">
      <alignment horizontal="center" vertical="center" wrapText="1"/>
    </xf>
    <xf numFmtId="0" fontId="15" fillId="4" borderId="8" xfId="1" applyFont="1" applyFill="1" applyBorder="1" applyAlignment="1">
      <alignment horizontal="center" vertical="center" wrapText="1"/>
    </xf>
    <xf numFmtId="0" fontId="15" fillId="4" borderId="164" xfId="1" applyFont="1" applyFill="1" applyBorder="1" applyAlignment="1">
      <alignment horizontal="center" vertical="center" wrapText="1"/>
    </xf>
    <xf numFmtId="0" fontId="7" fillId="0" borderId="165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166" xfId="1" applyFont="1" applyBorder="1" applyAlignment="1">
      <alignment horizontal="center" vertical="center"/>
    </xf>
    <xf numFmtId="0" fontId="7" fillId="0" borderId="92" xfId="1" applyFont="1" applyBorder="1" applyAlignment="1">
      <alignment horizontal="center" vertical="center"/>
    </xf>
    <xf numFmtId="3" fontId="7" fillId="0" borderId="164" xfId="1" applyNumberFormat="1" applyFont="1" applyBorder="1" applyAlignment="1">
      <alignment horizontal="left" vertical="center" wrapText="1"/>
    </xf>
    <xf numFmtId="0" fontId="23" fillId="0" borderId="0" xfId="1" applyFont="1" applyAlignment="1">
      <alignment horizontal="center" vertical="center"/>
    </xf>
    <xf numFmtId="0" fontId="15" fillId="4" borderId="174" xfId="1" applyFont="1" applyFill="1" applyBorder="1" applyAlignment="1">
      <alignment horizontal="center" vertical="center" wrapText="1"/>
    </xf>
    <xf numFmtId="0" fontId="15" fillId="4" borderId="139" xfId="1" applyFont="1" applyFill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/>
    </xf>
    <xf numFmtId="49" fontId="15" fillId="4" borderId="127" xfId="1" applyNumberFormat="1" applyFont="1" applyFill="1" applyBorder="1" applyAlignment="1">
      <alignment horizontal="center" vertical="center"/>
    </xf>
    <xf numFmtId="49" fontId="15" fillId="4" borderId="128" xfId="1" applyNumberFormat="1" applyFont="1" applyFill="1" applyBorder="1" applyAlignment="1">
      <alignment horizontal="center" vertical="center"/>
    </xf>
    <xf numFmtId="49" fontId="15" fillId="4" borderId="137" xfId="1" applyNumberFormat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15" fillId="4" borderId="32" xfId="1" applyFont="1" applyFill="1" applyBorder="1" applyAlignment="1">
      <alignment horizontal="center" vertical="center"/>
    </xf>
    <xf numFmtId="0" fontId="15" fillId="4" borderId="53" xfId="1" applyFont="1" applyFill="1" applyBorder="1" applyAlignment="1">
      <alignment horizontal="center" vertical="center"/>
    </xf>
    <xf numFmtId="0" fontId="15" fillId="4" borderId="92" xfId="1" applyFont="1" applyFill="1" applyBorder="1" applyAlignment="1">
      <alignment horizontal="center" vertical="center"/>
    </xf>
    <xf numFmtId="0" fontId="7" fillId="0" borderId="170" xfId="1" applyFont="1" applyFill="1" applyBorder="1" applyAlignment="1">
      <alignment horizontal="left" vertical="center" wrapText="1"/>
    </xf>
    <xf numFmtId="0" fontId="7" fillId="0" borderId="144" xfId="1" applyFont="1" applyFill="1" applyBorder="1" applyAlignment="1">
      <alignment horizontal="left" vertical="center" wrapText="1"/>
    </xf>
    <xf numFmtId="0" fontId="7" fillId="0" borderId="139" xfId="1" applyFont="1" applyFill="1" applyBorder="1" applyAlignment="1">
      <alignment horizontal="left" vertical="center" wrapText="1"/>
    </xf>
    <xf numFmtId="49" fontId="15" fillId="0" borderId="0" xfId="1" applyNumberFormat="1" applyFont="1" applyFill="1" applyBorder="1" applyAlignment="1">
      <alignment horizontal="center" vertical="center"/>
    </xf>
    <xf numFmtId="49" fontId="15" fillId="0" borderId="140" xfId="1" applyNumberFormat="1" applyFont="1" applyBorder="1" applyAlignment="1">
      <alignment horizontal="center" vertical="top"/>
    </xf>
    <xf numFmtId="49" fontId="15" fillId="0" borderId="142" xfId="1" applyNumberFormat="1" applyFont="1" applyBorder="1" applyAlignment="1">
      <alignment horizontal="center" vertical="top"/>
    </xf>
    <xf numFmtId="49" fontId="8" fillId="0" borderId="81" xfId="1" applyNumberFormat="1" applyFont="1" applyBorder="1" applyAlignment="1">
      <alignment horizontal="center" vertical="top"/>
    </xf>
    <xf numFmtId="49" fontId="7" fillId="0" borderId="81" xfId="1" applyNumberFormat="1" applyFont="1" applyBorder="1" applyAlignment="1">
      <alignment horizontal="center" vertical="top"/>
    </xf>
    <xf numFmtId="49" fontId="7" fillId="0" borderId="87" xfId="1" applyNumberFormat="1" applyFont="1" applyBorder="1" applyAlignment="1">
      <alignment horizontal="center" vertical="top"/>
    </xf>
    <xf numFmtId="0" fontId="8" fillId="0" borderId="81" xfId="1" applyFont="1" applyFill="1" applyBorder="1" applyAlignment="1">
      <alignment horizontal="center" vertical="center"/>
    </xf>
    <xf numFmtId="49" fontId="15" fillId="4" borderId="14" xfId="1" applyNumberFormat="1" applyFont="1" applyFill="1" applyBorder="1" applyAlignment="1">
      <alignment horizontal="center" vertical="center"/>
    </xf>
    <xf numFmtId="49" fontId="15" fillId="4" borderId="18" xfId="1" applyNumberFormat="1" applyFont="1" applyFill="1" applyBorder="1" applyAlignment="1">
      <alignment horizontal="center" vertical="center"/>
    </xf>
    <xf numFmtId="49" fontId="15" fillId="4" borderId="35" xfId="1" applyNumberFormat="1" applyFont="1" applyFill="1" applyBorder="1" applyAlignment="1">
      <alignment horizontal="center" vertical="center"/>
    </xf>
    <xf numFmtId="49" fontId="15" fillId="0" borderId="33" xfId="1" applyNumberFormat="1" applyFont="1" applyBorder="1" applyAlignment="1">
      <alignment horizontal="center" vertical="top"/>
    </xf>
    <xf numFmtId="49" fontId="15" fillId="0" borderId="32" xfId="1" applyNumberFormat="1" applyFont="1" applyBorder="1" applyAlignment="1">
      <alignment horizontal="center" vertical="top"/>
    </xf>
    <xf numFmtId="49" fontId="8" fillId="0" borderId="101" xfId="1" applyNumberFormat="1" applyFont="1" applyBorder="1" applyAlignment="1">
      <alignment horizontal="center" vertical="top"/>
    </xf>
    <xf numFmtId="49" fontId="8" fillId="0" borderId="102" xfId="1" applyNumberFormat="1" applyFont="1" applyBorder="1" applyAlignment="1">
      <alignment horizontal="center" vertical="top"/>
    </xf>
    <xf numFmtId="49" fontId="7" fillId="0" borderId="92" xfId="1" applyNumberFormat="1" applyFont="1" applyBorder="1" applyAlignment="1">
      <alignment horizontal="center" vertical="top"/>
    </xf>
    <xf numFmtId="0" fontId="8" fillId="0" borderId="81" xfId="1" applyFont="1" applyBorder="1" applyAlignment="1">
      <alignment horizontal="center" vertical="center" wrapText="1"/>
    </xf>
    <xf numFmtId="0" fontId="8" fillId="0" borderId="101" xfId="1" applyFont="1" applyFill="1" applyBorder="1" applyAlignment="1">
      <alignment horizontal="center" vertical="center"/>
    </xf>
    <xf numFmtId="0" fontId="8" fillId="0" borderId="102" xfId="1" applyFont="1" applyFill="1" applyBorder="1" applyAlignment="1">
      <alignment horizontal="center" vertical="center"/>
    </xf>
    <xf numFmtId="0" fontId="8" fillId="0" borderId="81" xfId="1" applyFont="1" applyBorder="1" applyAlignment="1">
      <alignment horizontal="center" vertical="center"/>
    </xf>
    <xf numFmtId="49" fontId="9" fillId="0" borderId="81" xfId="1" applyNumberFormat="1" applyFont="1" applyBorder="1" applyAlignment="1">
      <alignment horizontal="center" vertical="top"/>
    </xf>
    <xf numFmtId="49" fontId="7" fillId="0" borderId="43" xfId="1" applyNumberFormat="1" applyFont="1" applyBorder="1" applyAlignment="1">
      <alignment horizontal="center" vertical="top"/>
    </xf>
    <xf numFmtId="0" fontId="18" fillId="0" borderId="0" xfId="1" applyFont="1" applyAlignment="1">
      <alignment horizontal="right" vertical="center" wrapText="1"/>
    </xf>
    <xf numFmtId="0" fontId="1" fillId="0" borderId="0" xfId="14" applyAlignment="1">
      <alignment horizontal="right"/>
    </xf>
    <xf numFmtId="0" fontId="15" fillId="0" borderId="1" xfId="1" applyFont="1" applyBorder="1" applyAlignment="1">
      <alignment horizontal="center" vertical="center" wrapText="1"/>
    </xf>
    <xf numFmtId="0" fontId="15" fillId="0" borderId="43" xfId="1" applyFont="1" applyBorder="1" applyAlignment="1">
      <alignment horizontal="center" vertical="center" wrapText="1"/>
    </xf>
    <xf numFmtId="0" fontId="15" fillId="0" borderId="51" xfId="1" applyFont="1" applyBorder="1" applyAlignment="1">
      <alignment horizontal="center" vertical="center" wrapText="1"/>
    </xf>
    <xf numFmtId="0" fontId="8" fillId="0" borderId="55" xfId="1" applyFont="1" applyBorder="1" applyAlignment="1">
      <alignment horizontal="right" vertical="center" wrapText="1"/>
    </xf>
    <xf numFmtId="49" fontId="9" fillId="0" borderId="92" xfId="1" applyNumberFormat="1" applyFont="1" applyBorder="1" applyAlignment="1">
      <alignment horizontal="center" vertical="top"/>
    </xf>
    <xf numFmtId="49" fontId="8" fillId="0" borderId="81" xfId="1" applyNumberFormat="1" applyFont="1" applyBorder="1" applyAlignment="1">
      <alignment horizontal="center" vertical="center"/>
    </xf>
    <xf numFmtId="0" fontId="8" fillId="0" borderId="101" xfId="1" applyFont="1" applyBorder="1" applyAlignment="1">
      <alignment horizontal="center" vertical="center" wrapText="1"/>
    </xf>
    <xf numFmtId="0" fontId="8" fillId="0" borderId="102" xfId="1" applyFont="1" applyBorder="1" applyAlignment="1">
      <alignment horizontal="center" vertical="center" wrapText="1"/>
    </xf>
    <xf numFmtId="3" fontId="64" fillId="0" borderId="0" xfId="1" applyNumberFormat="1" applyFont="1" applyAlignment="1">
      <alignment horizontal="center" vertical="center" wrapText="1"/>
    </xf>
    <xf numFmtId="0" fontId="64" fillId="0" borderId="0" xfId="1" applyFont="1" applyAlignment="1">
      <alignment horizontal="center" vertical="center" wrapText="1"/>
    </xf>
    <xf numFmtId="49" fontId="9" fillId="0" borderId="142" xfId="1" applyNumberFormat="1" applyFont="1" applyBorder="1" applyAlignment="1">
      <alignment horizontal="center" vertical="top"/>
    </xf>
    <xf numFmtId="49" fontId="9" fillId="0" borderId="32" xfId="1" applyNumberFormat="1" applyFont="1" applyBorder="1" applyAlignment="1">
      <alignment horizontal="center" vertical="top"/>
    </xf>
    <xf numFmtId="49" fontId="15" fillId="24" borderId="81" xfId="1" applyNumberFormat="1" applyFont="1" applyFill="1" applyBorder="1" applyAlignment="1">
      <alignment horizontal="center" vertical="center"/>
    </xf>
    <xf numFmtId="49" fontId="9" fillId="0" borderId="140" xfId="1" applyNumberFormat="1" applyFont="1" applyBorder="1" applyAlignment="1">
      <alignment horizontal="center" vertical="top"/>
    </xf>
    <xf numFmtId="0" fontId="15" fillId="24" borderId="81" xfId="1" applyFont="1" applyFill="1" applyBorder="1" applyAlignment="1">
      <alignment horizontal="center" vertical="center"/>
    </xf>
    <xf numFmtId="49" fontId="9" fillId="0" borderId="33" xfId="1" applyNumberFormat="1" applyFont="1" applyBorder="1" applyAlignment="1">
      <alignment horizontal="center" vertical="top"/>
    </xf>
    <xf numFmtId="49" fontId="15" fillId="0" borderId="87" xfId="1" applyNumberFormat="1" applyFont="1" applyFill="1" applyBorder="1" applyAlignment="1">
      <alignment horizontal="center" vertical="center"/>
    </xf>
    <xf numFmtId="49" fontId="15" fillId="0" borderId="43" xfId="1" applyNumberFormat="1" applyFont="1" applyFill="1" applyBorder="1" applyAlignment="1">
      <alignment horizontal="center" vertical="center"/>
    </xf>
    <xf numFmtId="49" fontId="15" fillId="0" borderId="92" xfId="1" applyNumberFormat="1" applyFont="1" applyFill="1" applyBorder="1" applyAlignment="1">
      <alignment horizontal="center" vertical="center"/>
    </xf>
    <xf numFmtId="0" fontId="15" fillId="0" borderId="87" xfId="1" applyFont="1" applyFill="1" applyBorder="1" applyAlignment="1">
      <alignment horizontal="center" vertical="center" wrapText="1"/>
    </xf>
    <xf numFmtId="0" fontId="15" fillId="0" borderId="43" xfId="1" applyFont="1" applyFill="1" applyBorder="1" applyAlignment="1">
      <alignment horizontal="center" vertical="center" wrapText="1"/>
    </xf>
    <xf numFmtId="0" fontId="15" fillId="0" borderId="92" xfId="1" applyFont="1" applyFill="1" applyBorder="1" applyAlignment="1">
      <alignment horizontal="center" vertical="center" wrapText="1"/>
    </xf>
    <xf numFmtId="0" fontId="15" fillId="24" borderId="81" xfId="1" applyFont="1" applyFill="1" applyBorder="1" applyAlignment="1">
      <alignment horizontal="center" vertical="center" wrapText="1"/>
    </xf>
    <xf numFmtId="0" fontId="15" fillId="0" borderId="87" xfId="1" applyFont="1" applyFill="1" applyBorder="1" applyAlignment="1">
      <alignment horizontal="center" vertical="center"/>
    </xf>
    <xf numFmtId="0" fontId="15" fillId="0" borderId="43" xfId="1" applyFont="1" applyFill="1" applyBorder="1" applyAlignment="1">
      <alignment horizontal="center" vertical="center"/>
    </xf>
    <xf numFmtId="49" fontId="15" fillId="4" borderId="59" xfId="1" applyNumberFormat="1" applyFont="1" applyFill="1" applyBorder="1" applyAlignment="1">
      <alignment horizontal="center" vertical="center"/>
    </xf>
    <xf numFmtId="49" fontId="15" fillId="4" borderId="36" xfId="1" applyNumberFormat="1" applyFont="1" applyFill="1" applyBorder="1" applyAlignment="1">
      <alignment horizontal="center" vertical="center"/>
    </xf>
    <xf numFmtId="0" fontId="15" fillId="24" borderId="92" xfId="1" applyFont="1" applyFill="1" applyBorder="1" applyAlignment="1">
      <alignment horizontal="center" vertical="center"/>
    </xf>
    <xf numFmtId="49" fontId="15" fillId="0" borderId="87" xfId="1" applyNumberFormat="1" applyFont="1" applyFill="1" applyBorder="1" applyAlignment="1">
      <alignment horizontal="center" vertical="center" wrapText="1"/>
    </xf>
    <xf numFmtId="49" fontId="15" fillId="0" borderId="43" xfId="1" applyNumberFormat="1" applyFont="1" applyFill="1" applyBorder="1" applyAlignment="1">
      <alignment horizontal="center" vertical="center" wrapText="1"/>
    </xf>
    <xf numFmtId="49" fontId="15" fillId="0" borderId="92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4" borderId="140" xfId="1" applyFont="1" applyFill="1" applyBorder="1" applyAlignment="1">
      <alignment horizontal="center" vertical="center"/>
    </xf>
    <xf numFmtId="0" fontId="15" fillId="4" borderId="64" xfId="1" applyFont="1" applyFill="1" applyBorder="1" applyAlignment="1">
      <alignment horizontal="center" vertical="center"/>
    </xf>
    <xf numFmtId="0" fontId="15" fillId="4" borderId="81" xfId="1" applyFont="1" applyFill="1" applyBorder="1" applyAlignment="1">
      <alignment horizontal="center" vertical="center"/>
    </xf>
    <xf numFmtId="0" fontId="15" fillId="4" borderId="65" xfId="1" applyFont="1" applyFill="1" applyBorder="1" applyAlignment="1">
      <alignment horizontal="center" vertical="center"/>
    </xf>
    <xf numFmtId="0" fontId="15" fillId="4" borderId="43" xfId="1" applyFont="1" applyFill="1" applyBorder="1" applyAlignment="1">
      <alignment horizontal="center" vertical="center"/>
    </xf>
    <xf numFmtId="0" fontId="15" fillId="4" borderId="57" xfId="1" applyFont="1" applyFill="1" applyBorder="1" applyAlignment="1">
      <alignment horizontal="center" vertical="center"/>
    </xf>
    <xf numFmtId="0" fontId="15" fillId="4" borderId="81" xfId="1" applyFont="1" applyFill="1" applyBorder="1" applyAlignment="1">
      <alignment horizontal="center" vertical="center" wrapText="1"/>
    </xf>
    <xf numFmtId="0" fontId="15" fillId="4" borderId="65" xfId="1" applyFont="1" applyFill="1" applyBorder="1" applyAlignment="1">
      <alignment horizontal="center" vertical="center" wrapText="1"/>
    </xf>
    <xf numFmtId="0" fontId="15" fillId="4" borderId="60" xfId="1" applyFont="1" applyFill="1" applyBorder="1" applyAlignment="1">
      <alignment horizontal="center" vertical="center" wrapText="1"/>
    </xf>
    <xf numFmtId="0" fontId="15" fillId="4" borderId="126" xfId="1" applyFont="1" applyFill="1" applyBorder="1" applyAlignment="1">
      <alignment horizontal="center" vertical="center" wrapText="1"/>
    </xf>
    <xf numFmtId="0" fontId="15" fillId="4" borderId="61" xfId="1" applyFont="1" applyFill="1" applyBorder="1" applyAlignment="1">
      <alignment horizontal="center" vertical="center" wrapText="1"/>
    </xf>
    <xf numFmtId="0" fontId="15" fillId="4" borderId="141" xfId="1" applyFont="1" applyFill="1" applyBorder="1" applyAlignment="1">
      <alignment horizontal="center" vertical="center" wrapText="1"/>
    </xf>
    <xf numFmtId="0" fontId="15" fillId="4" borderId="66" xfId="1" applyFont="1" applyFill="1" applyBorder="1" applyAlignment="1">
      <alignment horizontal="center" vertical="center" wrapText="1"/>
    </xf>
    <xf numFmtId="0" fontId="15" fillId="4" borderId="87" xfId="1" applyFont="1" applyFill="1" applyBorder="1" applyAlignment="1">
      <alignment horizontal="center" vertical="center" wrapText="1"/>
    </xf>
    <xf numFmtId="0" fontId="15" fillId="4" borderId="57" xfId="1" applyFont="1" applyFill="1" applyBorder="1" applyAlignment="1">
      <alignment horizontal="center" vertical="center" wrapText="1"/>
    </xf>
    <xf numFmtId="0" fontId="67" fillId="0" borderId="131" xfId="0" applyFont="1" applyBorder="1" applyAlignment="1">
      <alignment horizontal="center" vertical="center"/>
    </xf>
    <xf numFmtId="0" fontId="67" fillId="0" borderId="24" xfId="0" applyFont="1" applyBorder="1" applyAlignment="1">
      <alignment horizontal="center" vertical="center"/>
    </xf>
    <xf numFmtId="0" fontId="69" fillId="2" borderId="14" xfId="0" applyFont="1" applyFill="1" applyBorder="1" applyAlignment="1">
      <alignment horizontal="center" vertical="center"/>
    </xf>
    <xf numFmtId="0" fontId="69" fillId="2" borderId="18" xfId="0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 wrapText="1"/>
    </xf>
    <xf numFmtId="0" fontId="67" fillId="2" borderId="13" xfId="0" applyFont="1" applyFill="1" applyBorder="1" applyAlignment="1">
      <alignment horizontal="center" vertical="center"/>
    </xf>
    <xf numFmtId="0" fontId="67" fillId="2" borderId="12" xfId="0" applyFont="1" applyFill="1" applyBorder="1" applyAlignment="1">
      <alignment horizontal="center" vertical="center"/>
    </xf>
    <xf numFmtId="0" fontId="67" fillId="2" borderId="76" xfId="0" applyFont="1" applyFill="1" applyBorder="1" applyAlignment="1">
      <alignment horizontal="center" vertical="center"/>
    </xf>
    <xf numFmtId="0" fontId="67" fillId="2" borderId="55" xfId="0" applyFont="1" applyFill="1" applyBorder="1" applyAlignment="1">
      <alignment horizontal="center" vertical="center"/>
    </xf>
    <xf numFmtId="0" fontId="67" fillId="2" borderId="13" xfId="0" applyFont="1" applyFill="1" applyBorder="1" applyAlignment="1">
      <alignment horizontal="center" vertical="center" wrapText="1"/>
    </xf>
    <xf numFmtId="0" fontId="67" fillId="2" borderId="12" xfId="0" applyFont="1" applyFill="1" applyBorder="1" applyAlignment="1">
      <alignment horizontal="center" vertical="center" wrapText="1"/>
    </xf>
    <xf numFmtId="0" fontId="67" fillId="2" borderId="26" xfId="0" applyFont="1" applyFill="1" applyBorder="1" applyAlignment="1">
      <alignment horizontal="center" vertical="center"/>
    </xf>
    <xf numFmtId="0" fontId="67" fillId="2" borderId="19" xfId="0" applyFont="1" applyFill="1" applyBorder="1" applyAlignment="1">
      <alignment horizontal="center" vertical="center"/>
    </xf>
    <xf numFmtId="49" fontId="67" fillId="0" borderId="26" xfId="0" applyNumberFormat="1" applyFont="1" applyBorder="1" applyAlignment="1">
      <alignment horizontal="center" vertical="center"/>
    </xf>
    <xf numFmtId="49" fontId="67" fillId="0" borderId="23" xfId="0" applyNumberFormat="1" applyFont="1" applyBorder="1" applyAlignment="1">
      <alignment horizontal="center" vertical="center"/>
    </xf>
    <xf numFmtId="49" fontId="67" fillId="0" borderId="24" xfId="0" applyNumberFormat="1" applyFont="1" applyBorder="1" applyAlignment="1">
      <alignment horizontal="center" vertical="center"/>
    </xf>
    <xf numFmtId="49" fontId="24" fillId="0" borderId="131" xfId="0" applyNumberFormat="1" applyFont="1" applyBorder="1" applyAlignment="1">
      <alignment horizontal="center" vertical="center"/>
    </xf>
    <xf numFmtId="49" fontId="24" fillId="0" borderId="24" xfId="0" applyNumberFormat="1" applyFont="1" applyBorder="1" applyAlignment="1">
      <alignment horizontal="center" vertical="center"/>
    </xf>
    <xf numFmtId="49" fontId="15" fillId="3" borderId="59" xfId="1" applyNumberFormat="1" applyFont="1" applyFill="1" applyBorder="1" applyAlignment="1">
      <alignment horizontal="center" vertical="center"/>
    </xf>
    <xf numFmtId="49" fontId="15" fillId="3" borderId="57" xfId="1" applyNumberFormat="1" applyFont="1" applyFill="1" applyBorder="1" applyAlignment="1">
      <alignment horizontal="center" vertical="center"/>
    </xf>
    <xf numFmtId="49" fontId="15" fillId="3" borderId="36" xfId="1" applyNumberFormat="1" applyFont="1" applyFill="1" applyBorder="1" applyAlignment="1">
      <alignment horizontal="center" vertical="center"/>
    </xf>
    <xf numFmtId="49" fontId="15" fillId="3" borderId="56" xfId="1" applyNumberFormat="1" applyFont="1" applyFill="1" applyBorder="1" applyAlignment="1">
      <alignment horizontal="center" vertical="center"/>
    </xf>
    <xf numFmtId="0" fontId="30" fillId="0" borderId="0" xfId="1" applyFont="1" applyAlignment="1">
      <alignment horizontal="center" vertical="center" wrapText="1"/>
    </xf>
    <xf numFmtId="49" fontId="15" fillId="0" borderId="26" xfId="1" applyNumberFormat="1" applyFont="1" applyBorder="1" applyAlignment="1">
      <alignment horizontal="center" vertical="center" wrapText="1"/>
    </xf>
    <xf numFmtId="49" fontId="15" fillId="0" borderId="23" xfId="1" applyNumberFormat="1" applyFont="1" applyBorder="1" applyAlignment="1">
      <alignment horizontal="center" vertical="center" wrapText="1"/>
    </xf>
    <xf numFmtId="49" fontId="15" fillId="0" borderId="19" xfId="1" applyNumberFormat="1" applyFont="1" applyBorder="1" applyAlignment="1">
      <alignment horizontal="center" vertical="center" wrapText="1"/>
    </xf>
    <xf numFmtId="0" fontId="9" fillId="4" borderId="59" xfId="1" applyFont="1" applyFill="1" applyBorder="1" applyAlignment="1">
      <alignment horizontal="center" vertical="center"/>
    </xf>
    <xf numFmtId="0" fontId="9" fillId="4" borderId="36" xfId="1" applyFont="1" applyFill="1" applyBorder="1" applyAlignment="1">
      <alignment horizontal="center" vertical="center"/>
    </xf>
    <xf numFmtId="0" fontId="9" fillId="4" borderId="38" xfId="1" applyFont="1" applyFill="1" applyBorder="1" applyAlignment="1">
      <alignment horizontal="center" vertical="center"/>
    </xf>
    <xf numFmtId="49" fontId="7" fillId="0" borderId="26" xfId="1" applyNumberFormat="1" applyFont="1" applyBorder="1" applyAlignment="1">
      <alignment horizontal="center" vertical="center" wrapText="1"/>
    </xf>
    <xf numFmtId="49" fontId="7" fillId="0" borderId="23" xfId="1" applyNumberFormat="1" applyFont="1" applyBorder="1" applyAlignment="1">
      <alignment horizontal="center" vertical="center" wrapText="1"/>
    </xf>
    <xf numFmtId="49" fontId="7" fillId="0" borderId="19" xfId="1" applyNumberFormat="1" applyFont="1" applyBorder="1" applyAlignment="1">
      <alignment horizontal="center" vertical="center" wrapText="1"/>
    </xf>
    <xf numFmtId="0" fontId="8" fillId="5" borderId="115" xfId="1" applyFont="1" applyFill="1" applyBorder="1" applyAlignment="1">
      <alignment horizontal="center" vertical="center"/>
    </xf>
    <xf numFmtId="0" fontId="8" fillId="5" borderId="114" xfId="1" applyFont="1" applyFill="1" applyBorder="1" applyAlignment="1">
      <alignment horizontal="center" vertical="center"/>
    </xf>
    <xf numFmtId="49" fontId="15" fillId="0" borderId="7" xfId="1" applyNumberFormat="1" applyFont="1" applyBorder="1" applyAlignment="1">
      <alignment horizontal="center" vertical="center" wrapText="1"/>
    </xf>
    <xf numFmtId="49" fontId="7" fillId="0" borderId="24" xfId="1" applyNumberFormat="1" applyFont="1" applyBorder="1" applyAlignment="1">
      <alignment horizontal="center" vertical="center" wrapText="1"/>
    </xf>
    <xf numFmtId="49" fontId="7" fillId="0" borderId="12" xfId="1" applyNumberFormat="1" applyFont="1" applyBorder="1" applyAlignment="1">
      <alignment horizontal="center" vertical="center" wrapText="1"/>
    </xf>
    <xf numFmtId="0" fontId="8" fillId="5" borderId="124" xfId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5" fillId="3" borderId="125" xfId="1" applyFont="1" applyFill="1" applyBorder="1" applyAlignment="1">
      <alignment horizontal="center" vertical="center"/>
    </xf>
    <xf numFmtId="0" fontId="15" fillId="3" borderId="127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5" fillId="3" borderId="131" xfId="1" applyFont="1" applyFill="1" applyBorder="1" applyAlignment="1">
      <alignment horizontal="center" vertical="center"/>
    </xf>
    <xf numFmtId="0" fontId="15" fillId="3" borderId="126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 wrapText="1"/>
    </xf>
    <xf numFmtId="0" fontId="9" fillId="3" borderId="61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15" fillId="4" borderId="14" xfId="2" applyFont="1" applyFill="1" applyBorder="1" applyAlignment="1">
      <alignment horizontal="left"/>
    </xf>
    <xf numFmtId="0" fontId="15" fillId="4" borderId="18" xfId="2" applyFont="1" applyFill="1" applyBorder="1" applyAlignment="1">
      <alignment horizontal="left"/>
    </xf>
    <xf numFmtId="0" fontId="13" fillId="2" borderId="14" xfId="2" applyFont="1" applyFill="1" applyBorder="1" applyAlignment="1">
      <alignment horizontal="center" vertical="center"/>
    </xf>
    <xf numFmtId="0" fontId="13" fillId="2" borderId="18" xfId="2" applyFont="1" applyFill="1" applyBorder="1" applyAlignment="1">
      <alignment horizontal="center" vertical="center"/>
    </xf>
    <xf numFmtId="0" fontId="16" fillId="0" borderId="0" xfId="2" applyFont="1" applyAlignment="1">
      <alignment horizontal="right" vertical="center" wrapText="1"/>
    </xf>
    <xf numFmtId="0" fontId="20" fillId="0" borderId="55" xfId="2" applyFont="1" applyBorder="1" applyAlignment="1">
      <alignment horizontal="center" vertical="center" wrapText="1"/>
    </xf>
  </cellXfs>
  <cellStyles count="15">
    <cellStyle name="Normalny" xfId="0" builtinId="0"/>
    <cellStyle name="Normalny 2" xfId="1"/>
    <cellStyle name="Normalny 2 2" xfId="2"/>
    <cellStyle name="Normalny 2 2 2" xfId="13"/>
    <cellStyle name="Normalny 3" xfId="3"/>
    <cellStyle name="Normalny 3 2" xfId="4"/>
    <cellStyle name="Normalny 3 2 2" xfId="5"/>
    <cellStyle name="Normalny 4" xfId="6"/>
    <cellStyle name="Normalny 5" xfId="9"/>
    <cellStyle name="Normalny 5 2" xfId="12"/>
    <cellStyle name="Normalny 5 2 2" xfId="14"/>
    <cellStyle name="Normalny 6" xfId="10"/>
    <cellStyle name="Normalny_Arkusz1" xfId="11"/>
    <cellStyle name="Procentowy 2" xfId="7"/>
    <cellStyle name="Walutowy 2" xfId="8"/>
  </cellStyles>
  <dxfs count="0"/>
  <tableStyles count="0" defaultTableStyle="TableStyleMedium9" defaultPivotStyle="PivotStyleLight16"/>
  <colors>
    <mruColors>
      <color rgb="FF99CCFF"/>
      <color rgb="FFFFFF66"/>
      <color rgb="FFCCCC00"/>
      <color rgb="FFFFCC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I3267"/>
  <sheetViews>
    <sheetView tabSelected="1" view="pageBreakPreview" zoomScaleNormal="100" zoomScaleSheetLayoutView="100" workbookViewId="0">
      <pane ySplit="7" topLeftCell="A8" activePane="bottomLeft" state="frozen"/>
      <selection activeCell="F1798" sqref="F1798"/>
      <selection pane="bottomLeft" activeCell="D1" sqref="D1:E1"/>
    </sheetView>
  </sheetViews>
  <sheetFormatPr defaultRowHeight="12.75"/>
  <cols>
    <col min="1" max="1" width="6.42578125" style="480" customWidth="1"/>
    <col min="2" max="2" width="8.85546875" style="762" customWidth="1"/>
    <col min="3" max="3" width="59.7109375" style="482" customWidth="1"/>
    <col min="4" max="4" width="16.140625" style="482" customWidth="1"/>
    <col min="5" max="5" width="23.5703125" style="482" customWidth="1"/>
    <col min="6" max="6" width="16.140625" style="1" customWidth="1"/>
    <col min="7" max="7" width="9.5703125" style="1" bestFit="1" customWidth="1"/>
    <col min="8" max="8" width="10.7109375" style="1" bestFit="1" customWidth="1"/>
    <col min="9" max="10" width="9.140625" style="1"/>
    <col min="11" max="11" width="13.28515625" style="1" customWidth="1"/>
    <col min="12" max="16384" width="9.140625" style="1"/>
  </cols>
  <sheetData>
    <row r="1" spans="1:5" ht="48" customHeight="1">
      <c r="B1" s="481"/>
      <c r="D1" s="1262" t="s">
        <v>1057</v>
      </c>
      <c r="E1" s="1262"/>
    </row>
    <row r="2" spans="1:5" ht="13.5" customHeight="1">
      <c r="A2" s="1263" t="s">
        <v>690</v>
      </c>
      <c r="B2" s="1263"/>
      <c r="C2" s="1263"/>
      <c r="D2" s="1263"/>
      <c r="E2" s="1263"/>
    </row>
    <row r="3" spans="1:5" ht="37.5" customHeight="1">
      <c r="A3" s="1263"/>
      <c r="B3" s="1263"/>
      <c r="C3" s="1263"/>
      <c r="D3" s="1263"/>
      <c r="E3" s="1263"/>
    </row>
    <row r="4" spans="1:5" ht="21.75" customHeight="1" thickBot="1">
      <c r="A4" s="483"/>
      <c r="B4" s="484"/>
      <c r="C4" s="485"/>
      <c r="D4" s="485"/>
      <c r="E4" s="485"/>
    </row>
    <row r="5" spans="1:5" ht="23.25" customHeight="1" thickBot="1">
      <c r="A5" s="1264" t="s">
        <v>0</v>
      </c>
      <c r="B5" s="1264" t="s">
        <v>691</v>
      </c>
      <c r="C5" s="1265" t="s">
        <v>692</v>
      </c>
      <c r="D5" s="1266" t="s">
        <v>8</v>
      </c>
      <c r="E5" s="1264" t="s">
        <v>693</v>
      </c>
    </row>
    <row r="6" spans="1:5" ht="17.25" customHeight="1" thickBot="1">
      <c r="A6" s="1264"/>
      <c r="B6" s="1264"/>
      <c r="C6" s="1265"/>
      <c r="D6" s="1266"/>
      <c r="E6" s="1264"/>
    </row>
    <row r="7" spans="1:5" ht="13.5" thickBot="1">
      <c r="A7" s="486" t="s">
        <v>205</v>
      </c>
      <c r="B7" s="486" t="s">
        <v>206</v>
      </c>
      <c r="C7" s="487" t="s">
        <v>207</v>
      </c>
      <c r="D7" s="488" t="s">
        <v>208</v>
      </c>
      <c r="E7" s="486" t="s">
        <v>694</v>
      </c>
    </row>
    <row r="8" spans="1:5" ht="13.5" thickBot="1">
      <c r="A8" s="489" t="s">
        <v>5</v>
      </c>
      <c r="B8" s="489"/>
      <c r="C8" s="490" t="s">
        <v>695</v>
      </c>
      <c r="D8" s="491"/>
      <c r="E8" s="492">
        <f>SUM(E9,E13,E17,E23,E33,E46,E51,E42)</f>
        <v>67845296</v>
      </c>
    </row>
    <row r="9" spans="1:5" ht="13.5" thickBot="1">
      <c r="A9" s="1257"/>
      <c r="B9" s="493" t="s">
        <v>211</v>
      </c>
      <c r="C9" s="494" t="s">
        <v>696</v>
      </c>
      <c r="D9" s="495"/>
      <c r="E9" s="496">
        <f>SUM(E12,E10)</f>
        <v>4842090</v>
      </c>
    </row>
    <row r="10" spans="1:5" ht="12.75" customHeight="1">
      <c r="A10" s="1257"/>
      <c r="B10" s="1251" t="s">
        <v>697</v>
      </c>
      <c r="C10" s="1258"/>
      <c r="D10" s="497"/>
      <c r="E10" s="498">
        <f>SUM(E11:E11)</f>
        <v>4842090</v>
      </c>
    </row>
    <row r="11" spans="1:5" ht="57.75" customHeight="1">
      <c r="A11" s="1257"/>
      <c r="B11" s="499"/>
      <c r="C11" s="500" t="s">
        <v>698</v>
      </c>
      <c r="D11" s="501" t="s">
        <v>699</v>
      </c>
      <c r="E11" s="502">
        <v>4842090</v>
      </c>
    </row>
    <row r="12" spans="1:5" ht="12.75" customHeight="1" thickBot="1">
      <c r="A12" s="1257"/>
      <c r="B12" s="1170" t="s">
        <v>700</v>
      </c>
      <c r="C12" s="1171"/>
      <c r="D12" s="503"/>
      <c r="E12" s="504">
        <v>0</v>
      </c>
    </row>
    <row r="13" spans="1:5" ht="13.5" thickBot="1">
      <c r="A13" s="1257"/>
      <c r="B13" s="505" t="s">
        <v>272</v>
      </c>
      <c r="C13" s="506" t="s">
        <v>273</v>
      </c>
      <c r="D13" s="507"/>
      <c r="E13" s="508">
        <f>SUM(E16,E14)</f>
        <v>40000</v>
      </c>
    </row>
    <row r="14" spans="1:5">
      <c r="A14" s="1257"/>
      <c r="B14" s="1251" t="s">
        <v>697</v>
      </c>
      <c r="C14" s="1252"/>
      <c r="D14" s="509"/>
      <c r="E14" s="498">
        <f>SUM(E15:E15)</f>
        <v>40000</v>
      </c>
    </row>
    <row r="15" spans="1:5" ht="45.75" customHeight="1">
      <c r="A15" s="1257"/>
      <c r="B15" s="510"/>
      <c r="C15" s="4" t="s">
        <v>701</v>
      </c>
      <c r="D15" s="511">
        <v>2210</v>
      </c>
      <c r="E15" s="512">
        <v>40000</v>
      </c>
    </row>
    <row r="16" spans="1:5" ht="13.5" thickBot="1">
      <c r="A16" s="1257"/>
      <c r="B16" s="1170" t="s">
        <v>700</v>
      </c>
      <c r="C16" s="1176"/>
      <c r="D16" s="513"/>
      <c r="E16" s="504">
        <v>0</v>
      </c>
    </row>
    <row r="17" spans="1:5" ht="13.5" thickBot="1">
      <c r="A17" s="1257"/>
      <c r="B17" s="514" t="s">
        <v>274</v>
      </c>
      <c r="C17" s="506" t="s">
        <v>702</v>
      </c>
      <c r="D17" s="515"/>
      <c r="E17" s="516">
        <f>SUM(E18,E22)</f>
        <v>106680</v>
      </c>
    </row>
    <row r="18" spans="1:5">
      <c r="A18" s="1257"/>
      <c r="B18" s="1227" t="s">
        <v>697</v>
      </c>
      <c r="C18" s="1252"/>
      <c r="D18" s="509"/>
      <c r="E18" s="498">
        <f>SUM(E19:E21)</f>
        <v>106680</v>
      </c>
    </row>
    <row r="19" spans="1:5" ht="21.75" customHeight="1">
      <c r="A19" s="1257"/>
      <c r="B19" s="1259"/>
      <c r="C19" s="1261" t="s">
        <v>703</v>
      </c>
      <c r="D19" s="517" t="s">
        <v>704</v>
      </c>
      <c r="E19" s="518">
        <v>77080</v>
      </c>
    </row>
    <row r="20" spans="1:5" ht="29.25" customHeight="1">
      <c r="A20" s="1257"/>
      <c r="B20" s="1259"/>
      <c r="C20" s="1261"/>
      <c r="D20" s="517" t="s">
        <v>699</v>
      </c>
      <c r="E20" s="518">
        <v>27100</v>
      </c>
    </row>
    <row r="21" spans="1:5" ht="32.25" customHeight="1" thickBot="1">
      <c r="A21" s="1257"/>
      <c r="B21" s="1260"/>
      <c r="C21" s="1236"/>
      <c r="D21" s="517" t="s">
        <v>705</v>
      </c>
      <c r="E21" s="518">
        <v>2500</v>
      </c>
    </row>
    <row r="22" spans="1:5" ht="13.5" thickBot="1">
      <c r="A22" s="1257"/>
      <c r="B22" s="1231" t="s">
        <v>700</v>
      </c>
      <c r="C22" s="1176"/>
      <c r="D22" s="513"/>
      <c r="E22" s="504">
        <v>0</v>
      </c>
    </row>
    <row r="23" spans="1:5" ht="13.5" thickBot="1">
      <c r="A23" s="1257"/>
      <c r="B23" s="514" t="s">
        <v>277</v>
      </c>
      <c r="C23" s="515" t="s">
        <v>278</v>
      </c>
      <c r="D23" s="519"/>
      <c r="E23" s="516">
        <f>SUM(E27,E24)</f>
        <v>25245211</v>
      </c>
    </row>
    <row r="24" spans="1:5">
      <c r="A24" s="1257"/>
      <c r="B24" s="1251" t="s">
        <v>697</v>
      </c>
      <c r="C24" s="1253"/>
      <c r="D24" s="509"/>
      <c r="E24" s="520">
        <f>SUM(E25:E26)</f>
        <v>5003211</v>
      </c>
    </row>
    <row r="25" spans="1:5" ht="41.25" customHeight="1">
      <c r="A25" s="1257"/>
      <c r="B25" s="1216"/>
      <c r="C25" s="521" t="s">
        <v>701</v>
      </c>
      <c r="D25" s="522">
        <v>2210</v>
      </c>
      <c r="E25" s="523">
        <v>5000000</v>
      </c>
    </row>
    <row r="26" spans="1:5" ht="42" customHeight="1">
      <c r="A26" s="1257"/>
      <c r="B26" s="1173"/>
      <c r="C26" s="524" t="s">
        <v>706</v>
      </c>
      <c r="D26" s="525">
        <v>2360</v>
      </c>
      <c r="E26" s="518">
        <v>3211</v>
      </c>
    </row>
    <row r="27" spans="1:5">
      <c r="A27" s="1257"/>
      <c r="B27" s="1178" t="s">
        <v>707</v>
      </c>
      <c r="C27" s="1209"/>
      <c r="D27" s="526"/>
      <c r="E27" s="527">
        <f>SUM(E28:E32)</f>
        <v>20242000</v>
      </c>
    </row>
    <row r="28" spans="1:5" ht="41.25" customHeight="1">
      <c r="A28" s="1257"/>
      <c r="B28" s="1173"/>
      <c r="C28" s="528" t="s">
        <v>708</v>
      </c>
      <c r="D28" s="1216">
        <v>6510</v>
      </c>
      <c r="E28" s="523">
        <v>2487026</v>
      </c>
    </row>
    <row r="29" spans="1:5" ht="84.75" customHeight="1">
      <c r="A29" s="1257"/>
      <c r="B29" s="1173"/>
      <c r="C29" s="529" t="s">
        <v>709</v>
      </c>
      <c r="D29" s="1173"/>
      <c r="E29" s="518">
        <v>100000</v>
      </c>
    </row>
    <row r="30" spans="1:5" ht="79.5" customHeight="1">
      <c r="A30" s="1257"/>
      <c r="B30" s="1173"/>
      <c r="C30" s="529" t="s">
        <v>710</v>
      </c>
      <c r="D30" s="1217"/>
      <c r="E30" s="518">
        <v>3613974</v>
      </c>
    </row>
    <row r="31" spans="1:5" ht="41.25" customHeight="1">
      <c r="A31" s="1257"/>
      <c r="B31" s="1173"/>
      <c r="C31" s="529" t="s">
        <v>711</v>
      </c>
      <c r="D31" s="525">
        <v>6517</v>
      </c>
      <c r="E31" s="518">
        <v>10554000</v>
      </c>
    </row>
    <row r="32" spans="1:5" ht="39" thickBot="1">
      <c r="A32" s="1257"/>
      <c r="B32" s="1174"/>
      <c r="C32" s="530" t="s">
        <v>712</v>
      </c>
      <c r="D32" s="531">
        <v>6519</v>
      </c>
      <c r="E32" s="532">
        <v>3487000</v>
      </c>
    </row>
    <row r="33" spans="1:5" ht="13.5" thickBot="1">
      <c r="A33" s="1257"/>
      <c r="B33" s="493" t="s">
        <v>289</v>
      </c>
      <c r="C33" s="506" t="s">
        <v>713</v>
      </c>
      <c r="D33" s="519"/>
      <c r="E33" s="496">
        <f>SUM(E39,E34)</f>
        <v>7506000</v>
      </c>
    </row>
    <row r="34" spans="1:5">
      <c r="A34" s="1257"/>
      <c r="B34" s="1227" t="s">
        <v>697</v>
      </c>
      <c r="C34" s="1253"/>
      <c r="D34" s="533"/>
      <c r="E34" s="520">
        <f>SUM(E35:E38)</f>
        <v>7226000</v>
      </c>
    </row>
    <row r="35" spans="1:5" ht="21.75" customHeight="1">
      <c r="A35" s="1257"/>
      <c r="B35" s="1243"/>
      <c r="C35" s="1245" t="s">
        <v>714</v>
      </c>
      <c r="D35" s="525">
        <v>2218</v>
      </c>
      <c r="E35" s="534">
        <v>3665000</v>
      </c>
    </row>
    <row r="36" spans="1:5" ht="30.75" customHeight="1">
      <c r="A36" s="1257"/>
      <c r="B36" s="1254"/>
      <c r="C36" s="1256"/>
      <c r="D36" s="525">
        <v>2219</v>
      </c>
      <c r="E36" s="534">
        <v>1221000</v>
      </c>
    </row>
    <row r="37" spans="1:5" ht="21.75" customHeight="1">
      <c r="A37" s="1257"/>
      <c r="B37" s="1254"/>
      <c r="C37" s="1245" t="s">
        <v>715</v>
      </c>
      <c r="D37" s="525">
        <v>2218</v>
      </c>
      <c r="E37" s="534">
        <v>1489000</v>
      </c>
    </row>
    <row r="38" spans="1:5" ht="32.25" customHeight="1">
      <c r="A38" s="1257"/>
      <c r="B38" s="1255"/>
      <c r="C38" s="1256"/>
      <c r="D38" s="525">
        <v>2219</v>
      </c>
      <c r="E38" s="534">
        <v>851000</v>
      </c>
    </row>
    <row r="39" spans="1:5">
      <c r="A39" s="1257"/>
      <c r="B39" s="1242" t="s">
        <v>707</v>
      </c>
      <c r="C39" s="1209"/>
      <c r="D39" s="533"/>
      <c r="E39" s="520">
        <f>SUM(E40:E41)</f>
        <v>280000</v>
      </c>
    </row>
    <row r="40" spans="1:5" ht="21" customHeight="1">
      <c r="A40" s="1257"/>
      <c r="B40" s="1243"/>
      <c r="C40" s="1245" t="s">
        <v>716</v>
      </c>
      <c r="D40" s="522">
        <v>6518</v>
      </c>
      <c r="E40" s="535">
        <v>210000</v>
      </c>
    </row>
    <row r="41" spans="1:5" ht="48" customHeight="1" thickBot="1">
      <c r="A41" s="1257"/>
      <c r="B41" s="1244"/>
      <c r="C41" s="1246"/>
      <c r="D41" s="531">
        <v>6519</v>
      </c>
      <c r="E41" s="536">
        <v>70000</v>
      </c>
    </row>
    <row r="42" spans="1:5" ht="13.5" thickBot="1">
      <c r="A42" s="1257"/>
      <c r="B42" s="493" t="s">
        <v>10</v>
      </c>
      <c r="C42" s="515" t="s">
        <v>321</v>
      </c>
      <c r="D42" s="519"/>
      <c r="E42" s="496">
        <f>SUM(E43,E45)</f>
        <v>6500000</v>
      </c>
    </row>
    <row r="43" spans="1:5">
      <c r="A43" s="1257"/>
      <c r="B43" s="1247" t="s">
        <v>697</v>
      </c>
      <c r="C43" s="1248"/>
      <c r="D43" s="537"/>
      <c r="E43" s="520">
        <f>SUM(E44:E44)</f>
        <v>6500000</v>
      </c>
    </row>
    <row r="44" spans="1:5" ht="18.75" customHeight="1">
      <c r="A44" s="1257"/>
      <c r="B44" s="538"/>
      <c r="C44" s="521" t="s">
        <v>717</v>
      </c>
      <c r="D44" s="539" t="s">
        <v>718</v>
      </c>
      <c r="E44" s="534">
        <v>6500000</v>
      </c>
    </row>
    <row r="45" spans="1:5" ht="13.5" thickBot="1">
      <c r="A45" s="1257"/>
      <c r="B45" s="1249" t="s">
        <v>700</v>
      </c>
      <c r="C45" s="1250"/>
      <c r="D45" s="540"/>
      <c r="E45" s="504">
        <v>0</v>
      </c>
    </row>
    <row r="46" spans="1:5" ht="13.5" thickBot="1">
      <c r="A46" s="1257"/>
      <c r="B46" s="541" t="s">
        <v>330</v>
      </c>
      <c r="C46" s="542" t="s">
        <v>719</v>
      </c>
      <c r="D46" s="543"/>
      <c r="E46" s="544">
        <f>SUM(E48,E47)</f>
        <v>23590315</v>
      </c>
    </row>
    <row r="47" spans="1:5">
      <c r="A47" s="1257"/>
      <c r="B47" s="1251" t="s">
        <v>720</v>
      </c>
      <c r="C47" s="1252"/>
      <c r="D47" s="509"/>
      <c r="E47" s="498">
        <v>0</v>
      </c>
    </row>
    <row r="48" spans="1:5">
      <c r="A48" s="1257"/>
      <c r="B48" s="1178" t="s">
        <v>707</v>
      </c>
      <c r="C48" s="1179"/>
      <c r="D48" s="533"/>
      <c r="E48" s="520">
        <f>SUM(E49:E50)</f>
        <v>23590315</v>
      </c>
    </row>
    <row r="49" spans="1:5" ht="30.75" customHeight="1">
      <c r="A49" s="1257"/>
      <c r="B49" s="1254"/>
      <c r="C49" s="521" t="s">
        <v>1045</v>
      </c>
      <c r="D49" s="522">
        <v>6280</v>
      </c>
      <c r="E49" s="535">
        <v>10171242</v>
      </c>
    </row>
    <row r="50" spans="1:5" ht="56.25" customHeight="1" thickBot="1">
      <c r="A50" s="1257"/>
      <c r="B50" s="1254"/>
      <c r="C50" s="545" t="s">
        <v>721</v>
      </c>
      <c r="D50" s="546">
        <v>6510</v>
      </c>
      <c r="E50" s="547">
        <v>13419073</v>
      </c>
    </row>
    <row r="51" spans="1:5" ht="13.5" thickBot="1">
      <c r="A51" s="1257"/>
      <c r="B51" s="493" t="s">
        <v>11</v>
      </c>
      <c r="C51" s="519" t="s">
        <v>332</v>
      </c>
      <c r="D51" s="519"/>
      <c r="E51" s="496">
        <f>SUM(E54,E52)</f>
        <v>15000</v>
      </c>
    </row>
    <row r="52" spans="1:5">
      <c r="A52" s="1257"/>
      <c r="B52" s="1251" t="s">
        <v>697</v>
      </c>
      <c r="C52" s="1252"/>
      <c r="D52" s="533"/>
      <c r="E52" s="520">
        <f>SUM(E53:E53)</f>
        <v>15000</v>
      </c>
    </row>
    <row r="53" spans="1:5" ht="38.25">
      <c r="A53" s="1257"/>
      <c r="B53" s="548"/>
      <c r="C53" s="521" t="s">
        <v>701</v>
      </c>
      <c r="D53" s="525">
        <v>2210</v>
      </c>
      <c r="E53" s="534">
        <v>15000</v>
      </c>
    </row>
    <row r="54" spans="1:5" ht="13.5" thickBot="1">
      <c r="A54" s="1257"/>
      <c r="B54" s="1170" t="s">
        <v>700</v>
      </c>
      <c r="C54" s="1176"/>
      <c r="D54" s="513"/>
      <c r="E54" s="504">
        <v>0</v>
      </c>
    </row>
    <row r="55" spans="1:5" s="310" customFormat="1" ht="15.75" customHeight="1" thickBot="1">
      <c r="A55" s="549" t="s">
        <v>339</v>
      </c>
      <c r="B55" s="550"/>
      <c r="C55" s="551" t="s">
        <v>722</v>
      </c>
      <c r="D55" s="552"/>
      <c r="E55" s="492">
        <f>SUM(E56)</f>
        <v>828000</v>
      </c>
    </row>
    <row r="56" spans="1:5" ht="33.75" customHeight="1" thickBot="1">
      <c r="A56" s="1237"/>
      <c r="B56" s="553" t="s">
        <v>341</v>
      </c>
      <c r="C56" s="494" t="s">
        <v>723</v>
      </c>
      <c r="D56" s="495"/>
      <c r="E56" s="496">
        <f>SUM(E57,E60)</f>
        <v>828000</v>
      </c>
    </row>
    <row r="57" spans="1:5">
      <c r="A57" s="1238"/>
      <c r="B57" s="1168" t="s">
        <v>697</v>
      </c>
      <c r="C57" s="1186"/>
      <c r="D57" s="509"/>
      <c r="E57" s="520">
        <f>SUM(E58:E59)</f>
        <v>828000</v>
      </c>
    </row>
    <row r="58" spans="1:5" ht="53.25" customHeight="1">
      <c r="A58" s="1238"/>
      <c r="B58" s="1240"/>
      <c r="C58" s="554" t="s">
        <v>724</v>
      </c>
      <c r="D58" s="522">
        <v>2008</v>
      </c>
      <c r="E58" s="535">
        <v>609000</v>
      </c>
    </row>
    <row r="59" spans="1:5" ht="56.25" customHeight="1">
      <c r="A59" s="1238"/>
      <c r="B59" s="1241"/>
      <c r="C59" s="521" t="s">
        <v>725</v>
      </c>
      <c r="D59" s="522">
        <v>2009</v>
      </c>
      <c r="E59" s="535">
        <v>219000</v>
      </c>
    </row>
    <row r="60" spans="1:5" ht="13.5" thickBot="1">
      <c r="A60" s="1238"/>
      <c r="B60" s="1205" t="s">
        <v>726</v>
      </c>
      <c r="C60" s="1179"/>
      <c r="D60" s="533"/>
      <c r="E60" s="520">
        <v>0</v>
      </c>
    </row>
    <row r="61" spans="1:5" s="310" customFormat="1" ht="15.75" customHeight="1" thickBot="1">
      <c r="A61" s="549" t="s">
        <v>727</v>
      </c>
      <c r="B61" s="550"/>
      <c r="C61" s="551" t="s">
        <v>728</v>
      </c>
      <c r="D61" s="552"/>
      <c r="E61" s="492">
        <f>SUM(E62)</f>
        <v>1369</v>
      </c>
    </row>
    <row r="62" spans="1:5" ht="15" customHeight="1" thickBot="1">
      <c r="A62" s="1237"/>
      <c r="B62" s="553" t="s">
        <v>729</v>
      </c>
      <c r="C62" s="494" t="s">
        <v>332</v>
      </c>
      <c r="D62" s="495"/>
      <c r="E62" s="496">
        <f>SUM(E63,E65)</f>
        <v>1369</v>
      </c>
    </row>
    <row r="63" spans="1:5">
      <c r="A63" s="1238"/>
      <c r="B63" s="1168" t="s">
        <v>697</v>
      </c>
      <c r="C63" s="1186"/>
      <c r="D63" s="509"/>
      <c r="E63" s="520">
        <f>SUM(E64:E64)</f>
        <v>1369</v>
      </c>
    </row>
    <row r="64" spans="1:5" ht="39" customHeight="1">
      <c r="A64" s="1238"/>
      <c r="B64" s="555"/>
      <c r="C64" s="554" t="s">
        <v>706</v>
      </c>
      <c r="D64" s="525">
        <v>2360</v>
      </c>
      <c r="E64" s="534">
        <v>1369</v>
      </c>
    </row>
    <row r="65" spans="1:5" ht="13.5" thickBot="1">
      <c r="A65" s="1238"/>
      <c r="B65" s="1205" t="s">
        <v>726</v>
      </c>
      <c r="C65" s="1179"/>
      <c r="D65" s="533"/>
      <c r="E65" s="520">
        <v>0</v>
      </c>
    </row>
    <row r="66" spans="1:5" ht="13.5" thickBot="1">
      <c r="A66" s="556">
        <v>500</v>
      </c>
      <c r="B66" s="1204" t="s">
        <v>730</v>
      </c>
      <c r="C66" s="1204"/>
      <c r="D66" s="557"/>
      <c r="E66" s="558">
        <f>SUM(E67:E67)</f>
        <v>131340</v>
      </c>
    </row>
    <row r="67" spans="1:5" ht="13.5" thickBot="1">
      <c r="A67" s="1198"/>
      <c r="B67" s="559">
        <v>50005</v>
      </c>
      <c r="C67" s="506" t="s">
        <v>361</v>
      </c>
      <c r="D67" s="519"/>
      <c r="E67" s="496">
        <f>SUM(E71,E68)</f>
        <v>131340</v>
      </c>
    </row>
    <row r="68" spans="1:5">
      <c r="A68" s="1145"/>
      <c r="B68" s="1168" t="s">
        <v>697</v>
      </c>
      <c r="C68" s="1186"/>
      <c r="D68" s="533"/>
      <c r="E68" s="520">
        <v>131340</v>
      </c>
    </row>
    <row r="69" spans="1:5" ht="41.25" customHeight="1">
      <c r="A69" s="1145"/>
      <c r="B69" s="1239"/>
      <c r="C69" s="521" t="s">
        <v>731</v>
      </c>
      <c r="D69" s="525">
        <v>2007</v>
      </c>
      <c r="E69" s="560">
        <v>111639</v>
      </c>
    </row>
    <row r="70" spans="1:5" ht="38.25">
      <c r="A70" s="1145"/>
      <c r="B70" s="1239"/>
      <c r="C70" s="521" t="s">
        <v>732</v>
      </c>
      <c r="D70" s="525">
        <v>2009</v>
      </c>
      <c r="E70" s="560">
        <v>19701</v>
      </c>
    </row>
    <row r="71" spans="1:5" ht="13.5" thickBot="1">
      <c r="A71" s="1145"/>
      <c r="B71" s="1170" t="s">
        <v>700</v>
      </c>
      <c r="C71" s="1176"/>
      <c r="D71" s="513"/>
      <c r="E71" s="504">
        <v>0</v>
      </c>
    </row>
    <row r="72" spans="1:5" ht="13.5" thickBot="1">
      <c r="A72" s="556">
        <v>600</v>
      </c>
      <c r="B72" s="561"/>
      <c r="C72" s="562" t="s">
        <v>733</v>
      </c>
      <c r="D72" s="563"/>
      <c r="E72" s="558">
        <f>SUM(E73,E84,E88,E92,E101)</f>
        <v>133956332</v>
      </c>
    </row>
    <row r="73" spans="1:5" ht="13.5" thickBot="1">
      <c r="A73" s="1172"/>
      <c r="B73" s="564">
        <v>60001</v>
      </c>
      <c r="C73" s="506" t="s">
        <v>370</v>
      </c>
      <c r="D73" s="519"/>
      <c r="E73" s="516">
        <f>SUM(E74,E79)</f>
        <v>31368022</v>
      </c>
    </row>
    <row r="74" spans="1:5">
      <c r="A74" s="1173"/>
      <c r="B74" s="1168" t="s">
        <v>697</v>
      </c>
      <c r="C74" s="1186"/>
      <c r="D74" s="509"/>
      <c r="E74" s="498">
        <f>SUM(E75:E78)</f>
        <v>10879089</v>
      </c>
    </row>
    <row r="75" spans="1:5">
      <c r="A75" s="1173"/>
      <c r="B75" s="1233"/>
      <c r="C75" s="565" t="s">
        <v>734</v>
      </c>
      <c r="D75" s="566" t="s">
        <v>704</v>
      </c>
      <c r="E75" s="535">
        <v>1964664</v>
      </c>
    </row>
    <row r="76" spans="1:5">
      <c r="A76" s="1173"/>
      <c r="B76" s="1233"/>
      <c r="C76" s="567" t="s">
        <v>735</v>
      </c>
      <c r="D76" s="1224" t="s">
        <v>705</v>
      </c>
      <c r="E76" s="534">
        <v>500000</v>
      </c>
    </row>
    <row r="77" spans="1:5" ht="40.5" customHeight="1">
      <c r="A77" s="1173"/>
      <c r="B77" s="1233"/>
      <c r="C77" s="4" t="s">
        <v>736</v>
      </c>
      <c r="D77" s="1234"/>
      <c r="E77" s="535">
        <v>3366480</v>
      </c>
    </row>
    <row r="78" spans="1:5" ht="42" customHeight="1">
      <c r="A78" s="1173"/>
      <c r="B78" s="1233"/>
      <c r="C78" s="567" t="s">
        <v>737</v>
      </c>
      <c r="D78" s="568" t="s">
        <v>738</v>
      </c>
      <c r="E78" s="535">
        <v>5047945</v>
      </c>
    </row>
    <row r="79" spans="1:5" ht="12.75" customHeight="1">
      <c r="A79" s="1173"/>
      <c r="B79" s="1169" t="s">
        <v>707</v>
      </c>
      <c r="C79" s="1205"/>
      <c r="D79" s="569"/>
      <c r="E79" s="520">
        <f>SUM(E80:E83)</f>
        <v>20488933</v>
      </c>
    </row>
    <row r="80" spans="1:5" ht="79.5" customHeight="1">
      <c r="A80" s="1173"/>
      <c r="B80" s="1229"/>
      <c r="C80" s="570" t="s">
        <v>739</v>
      </c>
      <c r="D80" s="571">
        <v>6207</v>
      </c>
      <c r="E80" s="534">
        <v>8396500</v>
      </c>
    </row>
    <row r="81" spans="1:5" ht="24.75" customHeight="1">
      <c r="A81" s="1173"/>
      <c r="B81" s="1187"/>
      <c r="C81" s="1235" t="s">
        <v>740</v>
      </c>
      <c r="D81" s="572">
        <v>6260</v>
      </c>
      <c r="E81" s="534">
        <v>1820313</v>
      </c>
    </row>
    <row r="82" spans="1:5" ht="21.75" customHeight="1">
      <c r="A82" s="1173"/>
      <c r="B82" s="1187"/>
      <c r="C82" s="1236"/>
      <c r="D82" s="573">
        <v>6269</v>
      </c>
      <c r="E82" s="535">
        <v>2990870</v>
      </c>
    </row>
    <row r="83" spans="1:5" ht="36.75" customHeight="1" thickBot="1">
      <c r="A83" s="1173"/>
      <c r="B83" s="1187"/>
      <c r="C83" s="574" t="s">
        <v>741</v>
      </c>
      <c r="D83" s="575">
        <v>6530</v>
      </c>
      <c r="E83" s="576">
        <v>7281250</v>
      </c>
    </row>
    <row r="84" spans="1:5" ht="13.5" thickBot="1">
      <c r="A84" s="1173"/>
      <c r="B84" s="559">
        <v>60003</v>
      </c>
      <c r="C84" s="577" t="s">
        <v>373</v>
      </c>
      <c r="D84" s="495"/>
      <c r="E84" s="496">
        <f>SUM(E87,E85)</f>
        <v>57400000</v>
      </c>
    </row>
    <row r="85" spans="1:5">
      <c r="A85" s="1173"/>
      <c r="B85" s="1168" t="s">
        <v>697</v>
      </c>
      <c r="C85" s="1186"/>
      <c r="D85" s="533"/>
      <c r="E85" s="520">
        <f>SUM(E86:E86)</f>
        <v>57400000</v>
      </c>
    </row>
    <row r="86" spans="1:5" ht="38.25">
      <c r="A86" s="1173"/>
      <c r="B86" s="578"/>
      <c r="C86" s="524" t="s">
        <v>701</v>
      </c>
      <c r="D86" s="539">
        <v>2210</v>
      </c>
      <c r="E86" s="534">
        <v>57400000</v>
      </c>
    </row>
    <row r="87" spans="1:5" ht="13.5" thickBot="1">
      <c r="A87" s="1173"/>
      <c r="B87" s="1170" t="s">
        <v>700</v>
      </c>
      <c r="C87" s="1176"/>
      <c r="D87" s="513"/>
      <c r="E87" s="504">
        <v>0</v>
      </c>
    </row>
    <row r="88" spans="1:5" ht="13.5" thickBot="1">
      <c r="A88" s="1173"/>
      <c r="B88" s="579">
        <v>60004</v>
      </c>
      <c r="C88" s="506" t="s">
        <v>376</v>
      </c>
      <c r="D88" s="519"/>
      <c r="E88" s="516">
        <f>SUM(E91,E89)</f>
        <v>100000</v>
      </c>
    </row>
    <row r="89" spans="1:5">
      <c r="A89" s="1173"/>
      <c r="B89" s="1168" t="s">
        <v>697</v>
      </c>
      <c r="C89" s="1186"/>
      <c r="D89" s="533"/>
      <c r="E89" s="520">
        <f>SUM(E90)</f>
        <v>100000</v>
      </c>
    </row>
    <row r="90" spans="1:5">
      <c r="A90" s="1173"/>
      <c r="B90" s="580"/>
      <c r="C90" s="524" t="s">
        <v>742</v>
      </c>
      <c r="D90" s="539" t="s">
        <v>718</v>
      </c>
      <c r="E90" s="518">
        <v>100000</v>
      </c>
    </row>
    <row r="91" spans="1:5" ht="13.5" thickBot="1">
      <c r="A91" s="1173"/>
      <c r="B91" s="1169" t="s">
        <v>700</v>
      </c>
      <c r="C91" s="1196"/>
      <c r="D91" s="581"/>
      <c r="E91" s="582">
        <v>0</v>
      </c>
    </row>
    <row r="92" spans="1:5" ht="13.5" thickBot="1">
      <c r="A92" s="1173"/>
      <c r="B92" s="579">
        <v>60013</v>
      </c>
      <c r="C92" s="506" t="s">
        <v>378</v>
      </c>
      <c r="D92" s="519"/>
      <c r="E92" s="583">
        <f>SUM(E97,E93)</f>
        <v>45011542</v>
      </c>
    </row>
    <row r="93" spans="1:5">
      <c r="A93" s="1173"/>
      <c r="B93" s="1168" t="s">
        <v>697</v>
      </c>
      <c r="C93" s="1186"/>
      <c r="D93" s="533"/>
      <c r="E93" s="584">
        <f>SUM(E94:E96)</f>
        <v>11727052</v>
      </c>
    </row>
    <row r="94" spans="1:5" ht="18.75" customHeight="1">
      <c r="A94" s="1173"/>
      <c r="B94" s="1192"/>
      <c r="C94" s="1194" t="s">
        <v>743</v>
      </c>
      <c r="D94" s="539" t="s">
        <v>718</v>
      </c>
      <c r="E94" s="585">
        <v>800000</v>
      </c>
    </row>
    <row r="95" spans="1:5" ht="60.75" customHeight="1">
      <c r="A95" s="1173"/>
      <c r="B95" s="1192"/>
      <c r="C95" s="1195"/>
      <c r="D95" s="539" t="s">
        <v>705</v>
      </c>
      <c r="E95" s="585">
        <v>9000</v>
      </c>
    </row>
    <row r="96" spans="1:5" ht="27.75" customHeight="1">
      <c r="A96" s="1173"/>
      <c r="B96" s="1192"/>
      <c r="C96" s="586" t="s">
        <v>744</v>
      </c>
      <c r="D96" s="539" t="s">
        <v>745</v>
      </c>
      <c r="E96" s="585">
        <v>10918052</v>
      </c>
    </row>
    <row r="97" spans="1:5">
      <c r="A97" s="1173"/>
      <c r="B97" s="1205" t="s">
        <v>707</v>
      </c>
      <c r="C97" s="1179"/>
      <c r="D97" s="533"/>
      <c r="E97" s="584">
        <f>SUM(E98:E100)</f>
        <v>33284490</v>
      </c>
    </row>
    <row r="98" spans="1:5" ht="42.75" customHeight="1">
      <c r="A98" s="1173"/>
      <c r="B98" s="1192"/>
      <c r="C98" s="524" t="s">
        <v>746</v>
      </c>
      <c r="D98" s="1226">
        <v>6207</v>
      </c>
      <c r="E98" s="585">
        <v>11319084</v>
      </c>
    </row>
    <row r="99" spans="1:5" ht="52.5" customHeight="1">
      <c r="A99" s="1173"/>
      <c r="B99" s="1192"/>
      <c r="C99" s="554" t="s">
        <v>747</v>
      </c>
      <c r="D99" s="1189"/>
      <c r="E99" s="587">
        <v>21915406</v>
      </c>
    </row>
    <row r="100" spans="1:5" ht="43.5" customHeight="1" thickBot="1">
      <c r="A100" s="1173"/>
      <c r="B100" s="1197"/>
      <c r="C100" s="545" t="s">
        <v>748</v>
      </c>
      <c r="D100" s="588">
        <v>6300</v>
      </c>
      <c r="E100" s="589">
        <v>50000</v>
      </c>
    </row>
    <row r="101" spans="1:5" ht="13.5" thickBot="1">
      <c r="A101" s="1173"/>
      <c r="B101" s="559">
        <v>60095</v>
      </c>
      <c r="C101" s="590" t="s">
        <v>332</v>
      </c>
      <c r="D101" s="591"/>
      <c r="E101" s="592">
        <f>SUM(E102,E106)</f>
        <v>76768</v>
      </c>
    </row>
    <row r="102" spans="1:5">
      <c r="A102" s="1173"/>
      <c r="B102" s="1227" t="s">
        <v>697</v>
      </c>
      <c r="C102" s="1228"/>
      <c r="D102" s="593"/>
      <c r="E102" s="594">
        <f>SUM(E103:E105)</f>
        <v>76768</v>
      </c>
    </row>
    <row r="103" spans="1:5" ht="38.25">
      <c r="A103" s="1173"/>
      <c r="B103" s="1229"/>
      <c r="C103" s="1094" t="s">
        <v>1044</v>
      </c>
      <c r="D103" s="596" t="s">
        <v>718</v>
      </c>
      <c r="E103" s="597">
        <v>1610</v>
      </c>
    </row>
    <row r="104" spans="1:5" ht="38.25">
      <c r="A104" s="1173"/>
      <c r="B104" s="1187"/>
      <c r="C104" s="598" t="s">
        <v>701</v>
      </c>
      <c r="D104" s="599">
        <v>2210</v>
      </c>
      <c r="E104" s="597">
        <v>72000</v>
      </c>
    </row>
    <row r="105" spans="1:5" ht="38.25">
      <c r="A105" s="1173"/>
      <c r="B105" s="1230"/>
      <c r="C105" s="595" t="s">
        <v>706</v>
      </c>
      <c r="D105" s="599">
        <v>2360</v>
      </c>
      <c r="E105" s="597">
        <v>3158</v>
      </c>
    </row>
    <row r="106" spans="1:5" ht="13.5" thickBot="1">
      <c r="A106" s="1174"/>
      <c r="B106" s="1231" t="s">
        <v>700</v>
      </c>
      <c r="C106" s="1232"/>
      <c r="D106" s="600"/>
      <c r="E106" s="601">
        <v>0</v>
      </c>
    </row>
    <row r="107" spans="1:5" ht="13.5" thickBot="1">
      <c r="A107" s="602">
        <v>630</v>
      </c>
      <c r="B107" s="602"/>
      <c r="C107" s="603" t="s">
        <v>749</v>
      </c>
      <c r="D107" s="604"/>
      <c r="E107" s="605">
        <f>SUM(E108)</f>
        <v>58762007</v>
      </c>
    </row>
    <row r="108" spans="1:5" ht="13.5" thickBot="1">
      <c r="A108" s="1218"/>
      <c r="B108" s="564">
        <v>63095</v>
      </c>
      <c r="C108" s="506" t="s">
        <v>332</v>
      </c>
      <c r="D108" s="519"/>
      <c r="E108" s="516">
        <f>SUM(E113,E109)</f>
        <v>58762007</v>
      </c>
    </row>
    <row r="109" spans="1:5">
      <c r="A109" s="1219"/>
      <c r="B109" s="1168" t="s">
        <v>697</v>
      </c>
      <c r="C109" s="1186"/>
      <c r="D109" s="533"/>
      <c r="E109" s="520">
        <f>SUM(E110:E112)</f>
        <v>174000</v>
      </c>
    </row>
    <row r="110" spans="1:5" ht="54" customHeight="1">
      <c r="A110" s="1219"/>
      <c r="B110" s="1221"/>
      <c r="C110" s="554" t="s">
        <v>750</v>
      </c>
      <c r="D110" s="1226">
        <v>2007</v>
      </c>
      <c r="E110" s="518">
        <v>140750</v>
      </c>
    </row>
    <row r="111" spans="1:5" ht="64.5" customHeight="1">
      <c r="A111" s="1219"/>
      <c r="B111" s="1219"/>
      <c r="C111" s="521" t="s">
        <v>751</v>
      </c>
      <c r="D111" s="1189"/>
      <c r="E111" s="518">
        <v>4000</v>
      </c>
    </row>
    <row r="112" spans="1:5" ht="53.25" customHeight="1" thickBot="1">
      <c r="A112" s="1219"/>
      <c r="B112" s="1219"/>
      <c r="C112" s="606" t="s">
        <v>752</v>
      </c>
      <c r="D112" s="607">
        <v>2009</v>
      </c>
      <c r="E112" s="608">
        <v>29250</v>
      </c>
    </row>
    <row r="113" spans="1:5">
      <c r="A113" s="1219"/>
      <c r="B113" s="1205" t="s">
        <v>707</v>
      </c>
      <c r="C113" s="1186"/>
      <c r="D113" s="609"/>
      <c r="E113" s="520">
        <f>SUM(E114:E117)</f>
        <v>58588007</v>
      </c>
    </row>
    <row r="114" spans="1:5" ht="51.75" customHeight="1">
      <c r="A114" s="1219"/>
      <c r="B114" s="1221"/>
      <c r="C114" s="554" t="s">
        <v>753</v>
      </c>
      <c r="D114" s="1216">
        <v>6207</v>
      </c>
      <c r="E114" s="518">
        <v>51946359</v>
      </c>
    </row>
    <row r="115" spans="1:5" ht="57.75" customHeight="1">
      <c r="A115" s="1219"/>
      <c r="B115" s="1219"/>
      <c r="C115" s="554" t="s">
        <v>754</v>
      </c>
      <c r="D115" s="1217"/>
      <c r="E115" s="518">
        <v>69700</v>
      </c>
    </row>
    <row r="116" spans="1:5" ht="42" customHeight="1">
      <c r="A116" s="1219"/>
      <c r="B116" s="1219"/>
      <c r="C116" s="554" t="s">
        <v>755</v>
      </c>
      <c r="D116" s="1216">
        <v>6209</v>
      </c>
      <c r="E116" s="518">
        <v>6559648</v>
      </c>
    </row>
    <row r="117" spans="1:5" ht="57" customHeight="1" thickBot="1">
      <c r="A117" s="1220"/>
      <c r="B117" s="1220"/>
      <c r="C117" s="554" t="s">
        <v>756</v>
      </c>
      <c r="D117" s="1174"/>
      <c r="E117" s="518">
        <v>12300</v>
      </c>
    </row>
    <row r="118" spans="1:5" ht="13.5" thickBot="1">
      <c r="A118" s="602">
        <v>700</v>
      </c>
      <c r="B118" s="602"/>
      <c r="C118" s="603" t="s">
        <v>757</v>
      </c>
      <c r="D118" s="604"/>
      <c r="E118" s="605">
        <f>SUM(E119)</f>
        <v>13053200</v>
      </c>
    </row>
    <row r="119" spans="1:5" ht="13.5" thickBot="1">
      <c r="A119" s="1218"/>
      <c r="B119" s="564">
        <v>70005</v>
      </c>
      <c r="C119" s="506" t="s">
        <v>398</v>
      </c>
      <c r="D119" s="519"/>
      <c r="E119" s="516">
        <f>SUM(E123,E120)</f>
        <v>13053200</v>
      </c>
    </row>
    <row r="120" spans="1:5">
      <c r="A120" s="1219"/>
      <c r="B120" s="1168" t="s">
        <v>697</v>
      </c>
      <c r="C120" s="1186"/>
      <c r="D120" s="533"/>
      <c r="E120" s="520">
        <f>SUM(E121:E122)</f>
        <v>283200</v>
      </c>
    </row>
    <row r="121" spans="1:5" ht="13.5" customHeight="1">
      <c r="A121" s="1219"/>
      <c r="B121" s="1221"/>
      <c r="C121" s="524" t="s">
        <v>758</v>
      </c>
      <c r="D121" s="539" t="s">
        <v>759</v>
      </c>
      <c r="E121" s="518">
        <v>270000</v>
      </c>
    </row>
    <row r="122" spans="1:5">
      <c r="A122" s="1219"/>
      <c r="B122" s="1219"/>
      <c r="C122" s="524" t="s">
        <v>1046</v>
      </c>
      <c r="D122" s="539" t="s">
        <v>704</v>
      </c>
      <c r="E122" s="518">
        <v>13200</v>
      </c>
    </row>
    <row r="123" spans="1:5">
      <c r="A123" s="1219"/>
      <c r="B123" s="1205" t="s">
        <v>707</v>
      </c>
      <c r="C123" s="1179"/>
      <c r="D123" s="533"/>
      <c r="E123" s="520">
        <f>SUM(E124:E124)</f>
        <v>12770000</v>
      </c>
    </row>
    <row r="124" spans="1:5" ht="21.75" customHeight="1">
      <c r="A124" s="1219"/>
      <c r="B124" s="1222"/>
      <c r="C124" s="610" t="s">
        <v>760</v>
      </c>
      <c r="D124" s="1224" t="s">
        <v>761</v>
      </c>
      <c r="E124" s="1210">
        <v>12770000</v>
      </c>
    </row>
    <row r="125" spans="1:5" ht="170.25" customHeight="1" thickBot="1">
      <c r="A125" s="1220"/>
      <c r="B125" s="1223"/>
      <c r="C125" s="545" t="s">
        <v>762</v>
      </c>
      <c r="D125" s="1225"/>
      <c r="E125" s="1211"/>
    </row>
    <row r="126" spans="1:5" ht="13.5" thickBot="1">
      <c r="A126" s="602">
        <v>710</v>
      </c>
      <c r="B126" s="611"/>
      <c r="C126" s="603" t="s">
        <v>763</v>
      </c>
      <c r="D126" s="604"/>
      <c r="E126" s="605">
        <f>SUM(E127,E132,E137,E143,E147)</f>
        <v>513765</v>
      </c>
    </row>
    <row r="127" spans="1:5" ht="13.5" thickBot="1">
      <c r="A127" s="1173"/>
      <c r="B127" s="579">
        <v>71003</v>
      </c>
      <c r="C127" s="506" t="s">
        <v>404</v>
      </c>
      <c r="D127" s="519"/>
      <c r="E127" s="516">
        <f>SUM(E131,E128)</f>
        <v>50000</v>
      </c>
    </row>
    <row r="128" spans="1:5">
      <c r="A128" s="1173"/>
      <c r="B128" s="1168" t="s">
        <v>697</v>
      </c>
      <c r="C128" s="1186"/>
      <c r="D128" s="533"/>
      <c r="E128" s="520">
        <f>SUM(E129:E130)</f>
        <v>50000</v>
      </c>
    </row>
    <row r="129" spans="1:5" ht="21" customHeight="1">
      <c r="A129" s="1173"/>
      <c r="B129" s="1212"/>
      <c r="C129" s="1159" t="s">
        <v>764</v>
      </c>
      <c r="D129" s="539" t="s">
        <v>704</v>
      </c>
      <c r="E129" s="518">
        <v>8500</v>
      </c>
    </row>
    <row r="130" spans="1:5" ht="20.25" customHeight="1">
      <c r="A130" s="1173"/>
      <c r="B130" s="1213"/>
      <c r="C130" s="1161"/>
      <c r="D130" s="539" t="s">
        <v>699</v>
      </c>
      <c r="E130" s="518">
        <v>41500</v>
      </c>
    </row>
    <row r="131" spans="1:5" ht="13.5" thickBot="1">
      <c r="A131" s="1173"/>
      <c r="B131" s="1169" t="s">
        <v>700</v>
      </c>
      <c r="C131" s="1196"/>
      <c r="D131" s="581"/>
      <c r="E131" s="582">
        <v>0</v>
      </c>
    </row>
    <row r="132" spans="1:5" ht="13.5" thickBot="1">
      <c r="A132" s="1173"/>
      <c r="B132" s="579">
        <v>71005</v>
      </c>
      <c r="C132" s="506" t="s">
        <v>408</v>
      </c>
      <c r="D132" s="519"/>
      <c r="E132" s="516">
        <f>SUM(E133,E136)</f>
        <v>5685</v>
      </c>
    </row>
    <row r="133" spans="1:5">
      <c r="A133" s="1173"/>
      <c r="B133" s="1168" t="s">
        <v>697</v>
      </c>
      <c r="C133" s="1186"/>
      <c r="D133" s="533"/>
      <c r="E133" s="520">
        <f>SUM(E134:E135)</f>
        <v>5685</v>
      </c>
    </row>
    <row r="134" spans="1:5" ht="42" customHeight="1">
      <c r="A134" s="1173"/>
      <c r="B134" s="1214"/>
      <c r="C134" s="521" t="s">
        <v>701</v>
      </c>
      <c r="D134" s="612">
        <v>2210</v>
      </c>
      <c r="E134" s="502">
        <v>5000</v>
      </c>
    </row>
    <row r="135" spans="1:5" ht="38.25">
      <c r="A135" s="1173"/>
      <c r="B135" s="1215"/>
      <c r="C135" s="521" t="s">
        <v>706</v>
      </c>
      <c r="D135" s="612">
        <v>2360</v>
      </c>
      <c r="E135" s="502">
        <v>685</v>
      </c>
    </row>
    <row r="136" spans="1:5" ht="13.5" thickBot="1">
      <c r="A136" s="1173"/>
      <c r="B136" s="1169" t="s">
        <v>700</v>
      </c>
      <c r="C136" s="1196"/>
      <c r="D136" s="581"/>
      <c r="E136" s="582">
        <v>0</v>
      </c>
    </row>
    <row r="137" spans="1:5" ht="13.5" thickBot="1">
      <c r="A137" s="1173"/>
      <c r="B137" s="579">
        <v>71012</v>
      </c>
      <c r="C137" s="506" t="s">
        <v>410</v>
      </c>
      <c r="D137" s="519"/>
      <c r="E137" s="516">
        <f>SUM(E142,E138)</f>
        <v>266080</v>
      </c>
    </row>
    <row r="138" spans="1:5">
      <c r="A138" s="1173"/>
      <c r="B138" s="1168" t="s">
        <v>697</v>
      </c>
      <c r="C138" s="1186"/>
      <c r="D138" s="533"/>
      <c r="E138" s="520">
        <f>SUM(E139:E141)</f>
        <v>266080</v>
      </c>
    </row>
    <row r="139" spans="1:5" ht="20.25" customHeight="1">
      <c r="A139" s="1173"/>
      <c r="B139" s="1180"/>
      <c r="C139" s="1207" t="s">
        <v>765</v>
      </c>
      <c r="D139" s="539" t="s">
        <v>718</v>
      </c>
      <c r="E139" s="518">
        <v>40000</v>
      </c>
    </row>
    <row r="140" spans="1:5" ht="45.75" customHeight="1">
      <c r="A140" s="1173"/>
      <c r="B140" s="1192"/>
      <c r="C140" s="1208"/>
      <c r="D140" s="539" t="s">
        <v>705</v>
      </c>
      <c r="E140" s="518">
        <v>80</v>
      </c>
    </row>
    <row r="141" spans="1:5" ht="40.5" customHeight="1">
      <c r="A141" s="1173"/>
      <c r="B141" s="1181"/>
      <c r="C141" s="521" t="s">
        <v>701</v>
      </c>
      <c r="D141" s="539" t="s">
        <v>766</v>
      </c>
      <c r="E141" s="518">
        <v>226000</v>
      </c>
    </row>
    <row r="142" spans="1:5" ht="12.75" customHeight="1" thickBot="1">
      <c r="A142" s="1173"/>
      <c r="B142" s="1178" t="s">
        <v>700</v>
      </c>
      <c r="C142" s="1209"/>
      <c r="D142" s="613"/>
      <c r="E142" s="520">
        <v>0</v>
      </c>
    </row>
    <row r="143" spans="1:5" ht="13.5" thickBot="1">
      <c r="A143" s="1173"/>
      <c r="B143" s="614">
        <v>71013</v>
      </c>
      <c r="C143" s="506" t="s">
        <v>414</v>
      </c>
      <c r="D143" s="519"/>
      <c r="E143" s="516">
        <f>SUM(E146,E144)</f>
        <v>87000</v>
      </c>
    </row>
    <row r="144" spans="1:5">
      <c r="A144" s="1173"/>
      <c r="B144" s="1168" t="s">
        <v>697</v>
      </c>
      <c r="C144" s="1186"/>
      <c r="D144" s="533"/>
      <c r="E144" s="520">
        <f>SUM(E145:E145)</f>
        <v>87000</v>
      </c>
    </row>
    <row r="145" spans="1:5" ht="38.25">
      <c r="A145" s="1173"/>
      <c r="B145" s="615"/>
      <c r="C145" s="524" t="s">
        <v>701</v>
      </c>
      <c r="D145" s="525">
        <v>2210</v>
      </c>
      <c r="E145" s="518">
        <v>87000</v>
      </c>
    </row>
    <row r="146" spans="1:5" ht="13.5" thickBot="1">
      <c r="A146" s="1173"/>
      <c r="B146" s="1170" t="s">
        <v>700</v>
      </c>
      <c r="C146" s="1176"/>
      <c r="D146" s="513"/>
      <c r="E146" s="504">
        <v>0</v>
      </c>
    </row>
    <row r="147" spans="1:5" ht="13.5" thickBot="1">
      <c r="A147" s="1173"/>
      <c r="B147" s="579">
        <v>71095</v>
      </c>
      <c r="C147" s="494" t="s">
        <v>332</v>
      </c>
      <c r="D147" s="495"/>
      <c r="E147" s="496">
        <f>SUM(E150,E148)</f>
        <v>105000</v>
      </c>
    </row>
    <row r="148" spans="1:5">
      <c r="A148" s="1173"/>
      <c r="B148" s="1168" t="s">
        <v>697</v>
      </c>
      <c r="C148" s="1186"/>
      <c r="D148" s="533"/>
      <c r="E148" s="520">
        <f>SUM(E149:E149)</f>
        <v>100000</v>
      </c>
    </row>
    <row r="149" spans="1:5" ht="38.25">
      <c r="A149" s="1173"/>
      <c r="B149" s="616"/>
      <c r="C149" s="524" t="s">
        <v>701</v>
      </c>
      <c r="D149" s="525">
        <v>2210</v>
      </c>
      <c r="E149" s="518">
        <v>100000</v>
      </c>
    </row>
    <row r="150" spans="1:5">
      <c r="A150" s="1173"/>
      <c r="B150" s="1169" t="s">
        <v>767</v>
      </c>
      <c r="C150" s="1203"/>
      <c r="D150" s="617"/>
      <c r="E150" s="582">
        <f>SUM(E151)</f>
        <v>5000</v>
      </c>
    </row>
    <row r="151" spans="1:5" ht="57" customHeight="1" thickBot="1">
      <c r="A151" s="1173"/>
      <c r="B151" s="618"/>
      <c r="C151" s="619" t="s">
        <v>721</v>
      </c>
      <c r="D151" s="620">
        <v>6510</v>
      </c>
      <c r="E151" s="608">
        <v>5000</v>
      </c>
    </row>
    <row r="152" spans="1:5" s="622" customFormat="1" ht="13.5" thickBot="1">
      <c r="A152" s="556">
        <v>720</v>
      </c>
      <c r="B152" s="1204" t="s">
        <v>768</v>
      </c>
      <c r="C152" s="1204"/>
      <c r="D152" s="621"/>
      <c r="E152" s="492">
        <f>SUM(E153:E153)</f>
        <v>297230823</v>
      </c>
    </row>
    <row r="153" spans="1:5" ht="13.5" thickBot="1">
      <c r="A153" s="1172"/>
      <c r="B153" s="564">
        <v>72095</v>
      </c>
      <c r="C153" s="506" t="s">
        <v>332</v>
      </c>
      <c r="D153" s="519"/>
      <c r="E153" s="496">
        <f>SUM(E154,E156)</f>
        <v>297230823</v>
      </c>
    </row>
    <row r="154" spans="1:5">
      <c r="A154" s="1173"/>
      <c r="B154" s="1168" t="s">
        <v>697</v>
      </c>
      <c r="C154" s="1186"/>
      <c r="D154" s="533"/>
      <c r="E154" s="520">
        <f>SUM(E155:E155)</f>
        <v>57585595</v>
      </c>
    </row>
    <row r="155" spans="1:5" ht="57" customHeight="1">
      <c r="A155" s="1173"/>
      <c r="B155" s="623"/>
      <c r="C155" s="624" t="s">
        <v>769</v>
      </c>
      <c r="D155" s="517" t="s">
        <v>705</v>
      </c>
      <c r="E155" s="518">
        <v>57585595</v>
      </c>
    </row>
    <row r="156" spans="1:5">
      <c r="A156" s="1173"/>
      <c r="B156" s="1205" t="s">
        <v>707</v>
      </c>
      <c r="C156" s="1179"/>
      <c r="D156" s="625"/>
      <c r="E156" s="520">
        <f>SUM(E157:E158)</f>
        <v>239645228</v>
      </c>
    </row>
    <row r="157" spans="1:5" ht="58.5" customHeight="1">
      <c r="A157" s="1173"/>
      <c r="B157" s="1190"/>
      <c r="C157" s="624" t="s">
        <v>770</v>
      </c>
      <c r="D157" s="626" t="s">
        <v>394</v>
      </c>
      <c r="E157" s="523">
        <v>213429378</v>
      </c>
    </row>
    <row r="158" spans="1:5" ht="54.75" customHeight="1" thickBot="1">
      <c r="A158" s="1173"/>
      <c r="B158" s="1206"/>
      <c r="C158" s="627" t="s">
        <v>771</v>
      </c>
      <c r="D158" s="628" t="s">
        <v>350</v>
      </c>
      <c r="E158" s="608">
        <v>26215850</v>
      </c>
    </row>
    <row r="159" spans="1:5" ht="13.5" thickBot="1">
      <c r="A159" s="629">
        <v>750</v>
      </c>
      <c r="B159" s="630"/>
      <c r="C159" s="631" t="s">
        <v>42</v>
      </c>
      <c r="D159" s="604"/>
      <c r="E159" s="605">
        <f>SUM(E160,E166,E170,E177,E182,E187,)</f>
        <v>9935642</v>
      </c>
    </row>
    <row r="160" spans="1:5" ht="26.25" thickBot="1">
      <c r="A160" s="1198"/>
      <c r="B160" s="632">
        <v>75001</v>
      </c>
      <c r="C160" s="494" t="s">
        <v>772</v>
      </c>
      <c r="D160" s="495"/>
      <c r="E160" s="496">
        <f>SUM(E165,E161)</f>
        <v>2130108</v>
      </c>
    </row>
    <row r="161" spans="1:5">
      <c r="A161" s="1145"/>
      <c r="B161" s="1168" t="s">
        <v>697</v>
      </c>
      <c r="C161" s="1186"/>
      <c r="D161" s="533"/>
      <c r="E161" s="520">
        <f>SUM(E162:E164)</f>
        <v>2130108</v>
      </c>
    </row>
    <row r="162" spans="1:5" ht="69.75" customHeight="1">
      <c r="A162" s="1145"/>
      <c r="B162" s="1199"/>
      <c r="C162" s="633" t="s">
        <v>773</v>
      </c>
      <c r="D162" s="634">
        <v>2007</v>
      </c>
      <c r="E162" s="502">
        <v>130108</v>
      </c>
    </row>
    <row r="163" spans="1:5" ht="54.75" customHeight="1">
      <c r="A163" s="1145"/>
      <c r="B163" s="1200"/>
      <c r="C163" s="635" t="s">
        <v>774</v>
      </c>
      <c r="D163" s="636">
        <v>2008</v>
      </c>
      <c r="E163" s="637">
        <v>1700000</v>
      </c>
    </row>
    <row r="164" spans="1:5" ht="42" customHeight="1">
      <c r="A164" s="1145"/>
      <c r="B164" s="1201"/>
      <c r="C164" s="635" t="s">
        <v>775</v>
      </c>
      <c r="D164" s="572">
        <v>2009</v>
      </c>
      <c r="E164" s="637">
        <v>300000</v>
      </c>
    </row>
    <row r="165" spans="1:5" ht="13.5" thickBot="1">
      <c r="A165" s="1145"/>
      <c r="B165" s="1202" t="s">
        <v>700</v>
      </c>
      <c r="C165" s="1203"/>
      <c r="D165" s="581"/>
      <c r="E165" s="582">
        <v>0</v>
      </c>
    </row>
    <row r="166" spans="1:5" ht="13.5" thickBot="1">
      <c r="A166" s="1145"/>
      <c r="B166" s="564">
        <v>75011</v>
      </c>
      <c r="C166" s="515" t="s">
        <v>433</v>
      </c>
      <c r="D166" s="519"/>
      <c r="E166" s="516">
        <f>SUM(E169,E167)</f>
        <v>723000</v>
      </c>
    </row>
    <row r="167" spans="1:5">
      <c r="A167" s="1145"/>
      <c r="B167" s="1168" t="s">
        <v>697</v>
      </c>
      <c r="C167" s="1186"/>
      <c r="D167" s="533"/>
      <c r="E167" s="520">
        <f>SUM(E168:E168)</f>
        <v>723000</v>
      </c>
    </row>
    <row r="168" spans="1:5" ht="38.25">
      <c r="A168" s="1145"/>
      <c r="B168" s="615"/>
      <c r="C168" s="524" t="s">
        <v>776</v>
      </c>
      <c r="D168" s="525">
        <v>2210</v>
      </c>
      <c r="E168" s="518">
        <v>723000</v>
      </c>
    </row>
    <row r="169" spans="1:5" ht="13.5" thickBot="1">
      <c r="A169" s="1145"/>
      <c r="B169" s="1170" t="s">
        <v>700</v>
      </c>
      <c r="C169" s="1176"/>
      <c r="D169" s="513"/>
      <c r="E169" s="504">
        <v>0</v>
      </c>
    </row>
    <row r="170" spans="1:5" ht="13.5" thickBot="1">
      <c r="A170" s="1173"/>
      <c r="B170" s="579">
        <v>75018</v>
      </c>
      <c r="C170" s="506" t="s">
        <v>439</v>
      </c>
      <c r="D170" s="519"/>
      <c r="E170" s="583">
        <f>SUM(E176,E171)</f>
        <v>327000</v>
      </c>
    </row>
    <row r="171" spans="1:5">
      <c r="A171" s="1173"/>
      <c r="B171" s="1168" t="s">
        <v>697</v>
      </c>
      <c r="C171" s="1186"/>
      <c r="D171" s="533"/>
      <c r="E171" s="584">
        <f>SUM(E172:E175)</f>
        <v>327000</v>
      </c>
    </row>
    <row r="172" spans="1:5" ht="31.5" customHeight="1">
      <c r="A172" s="1173"/>
      <c r="B172" s="1180"/>
      <c r="C172" s="1193" t="s">
        <v>777</v>
      </c>
      <c r="D172" s="539" t="s">
        <v>718</v>
      </c>
      <c r="E172" s="585">
        <v>10000</v>
      </c>
    </row>
    <row r="173" spans="1:5" ht="27" customHeight="1">
      <c r="A173" s="1173"/>
      <c r="B173" s="1192"/>
      <c r="C173" s="1194"/>
      <c r="D173" s="539" t="s">
        <v>704</v>
      </c>
      <c r="E173" s="585">
        <v>50000</v>
      </c>
    </row>
    <row r="174" spans="1:5" ht="20.25" customHeight="1">
      <c r="A174" s="1173"/>
      <c r="B174" s="1192"/>
      <c r="C174" s="1195"/>
      <c r="D174" s="539" t="s">
        <v>705</v>
      </c>
      <c r="E174" s="585">
        <v>200000</v>
      </c>
    </row>
    <row r="175" spans="1:5" ht="25.5">
      <c r="A175" s="1173"/>
      <c r="B175" s="1181"/>
      <c r="C175" s="524" t="s">
        <v>744</v>
      </c>
      <c r="D175" s="539" t="s">
        <v>745</v>
      </c>
      <c r="E175" s="585">
        <v>67000</v>
      </c>
    </row>
    <row r="176" spans="1:5" ht="13.5" thickBot="1">
      <c r="A176" s="1173"/>
      <c r="B176" s="1169" t="s">
        <v>700</v>
      </c>
      <c r="C176" s="1196"/>
      <c r="D176" s="581"/>
      <c r="E176" s="638">
        <v>0</v>
      </c>
    </row>
    <row r="177" spans="1:5" ht="13.5" thickBot="1">
      <c r="A177" s="1173"/>
      <c r="B177" s="579">
        <v>75046</v>
      </c>
      <c r="C177" s="506" t="s">
        <v>457</v>
      </c>
      <c r="D177" s="519"/>
      <c r="E177" s="516">
        <f>SUM(E181,E178)</f>
        <v>21053</v>
      </c>
    </row>
    <row r="178" spans="1:5">
      <c r="A178" s="1173"/>
      <c r="B178" s="1168" t="s">
        <v>697</v>
      </c>
      <c r="C178" s="1186"/>
      <c r="D178" s="533"/>
      <c r="E178" s="520">
        <f>SUM(E179:E180)</f>
        <v>21053</v>
      </c>
    </row>
    <row r="179" spans="1:5" ht="41.25" customHeight="1">
      <c r="A179" s="1173"/>
      <c r="B179" s="1180"/>
      <c r="C179" s="524" t="s">
        <v>701</v>
      </c>
      <c r="D179" s="525">
        <v>2210</v>
      </c>
      <c r="E179" s="518">
        <v>20000</v>
      </c>
    </row>
    <row r="180" spans="1:5" ht="38.25">
      <c r="A180" s="1173"/>
      <c r="B180" s="1181"/>
      <c r="C180" s="524" t="s">
        <v>706</v>
      </c>
      <c r="D180" s="525">
        <v>2360</v>
      </c>
      <c r="E180" s="518">
        <v>1053</v>
      </c>
    </row>
    <row r="181" spans="1:5" ht="13.5" thickBot="1">
      <c r="A181" s="1173"/>
      <c r="B181" s="1169" t="s">
        <v>700</v>
      </c>
      <c r="C181" s="1196"/>
      <c r="D181" s="581"/>
      <c r="E181" s="582">
        <v>0</v>
      </c>
    </row>
    <row r="182" spans="1:5" ht="13.5" thickBot="1">
      <c r="A182" s="1173"/>
      <c r="B182" s="579">
        <v>75071</v>
      </c>
      <c r="C182" s="494" t="s">
        <v>778</v>
      </c>
      <c r="D182" s="495"/>
      <c r="E182" s="496">
        <f>SUM(E186,E183)</f>
        <v>15500</v>
      </c>
    </row>
    <row r="183" spans="1:5">
      <c r="A183" s="1173"/>
      <c r="B183" s="1168" t="s">
        <v>697</v>
      </c>
      <c r="C183" s="1186"/>
      <c r="D183" s="533"/>
      <c r="E183" s="520">
        <f>SUM(E184:E185)</f>
        <v>15500</v>
      </c>
    </row>
    <row r="184" spans="1:5" ht="56.25" customHeight="1">
      <c r="A184" s="1173"/>
      <c r="B184" s="1180"/>
      <c r="C184" s="521" t="s">
        <v>779</v>
      </c>
      <c r="D184" s="522">
        <v>2007</v>
      </c>
      <c r="E184" s="523">
        <v>13175</v>
      </c>
    </row>
    <row r="185" spans="1:5" ht="53.25" customHeight="1" thickBot="1">
      <c r="A185" s="1173"/>
      <c r="B185" s="1197"/>
      <c r="C185" s="639" t="s">
        <v>780</v>
      </c>
      <c r="D185" s="531">
        <v>2009</v>
      </c>
      <c r="E185" s="532">
        <v>2325</v>
      </c>
    </row>
    <row r="186" spans="1:5" ht="13.5" thickBot="1">
      <c r="A186" s="1173"/>
      <c r="B186" s="1184" t="s">
        <v>700</v>
      </c>
      <c r="C186" s="1185"/>
      <c r="D186" s="640"/>
      <c r="E186" s="641">
        <v>0</v>
      </c>
    </row>
    <row r="187" spans="1:5" ht="13.5" thickBot="1">
      <c r="A187" s="1173"/>
      <c r="B187" s="579">
        <v>75095</v>
      </c>
      <c r="C187" s="506" t="s">
        <v>332</v>
      </c>
      <c r="D187" s="519"/>
      <c r="E187" s="583">
        <f>SUM(E192,E188)</f>
        <v>6718981</v>
      </c>
    </row>
    <row r="188" spans="1:5">
      <c r="A188" s="1173"/>
      <c r="B188" s="1168" t="s">
        <v>697</v>
      </c>
      <c r="C188" s="1186"/>
      <c r="D188" s="533"/>
      <c r="E188" s="584">
        <f>SUM(E189:E191)</f>
        <v>306648</v>
      </c>
    </row>
    <row r="189" spans="1:5" ht="28.5" customHeight="1">
      <c r="A189" s="1173"/>
      <c r="B189" s="1187"/>
      <c r="C189" s="642" t="s">
        <v>744</v>
      </c>
      <c r="D189" s="643">
        <v>2230</v>
      </c>
      <c r="E189" s="644">
        <v>5000</v>
      </c>
    </row>
    <row r="190" spans="1:5" ht="45" customHeight="1">
      <c r="A190" s="1173"/>
      <c r="B190" s="1187"/>
      <c r="C190" s="521" t="s">
        <v>1047</v>
      </c>
      <c r="D190" s="1188">
        <v>2708</v>
      </c>
      <c r="E190" s="518">
        <v>148060</v>
      </c>
    </row>
    <row r="191" spans="1:5" ht="39" customHeight="1">
      <c r="A191" s="1173"/>
      <c r="B191" s="1187"/>
      <c r="C191" s="521" t="s">
        <v>1048</v>
      </c>
      <c r="D191" s="1189"/>
      <c r="E191" s="518">
        <v>153588</v>
      </c>
    </row>
    <row r="192" spans="1:5">
      <c r="A192" s="1173"/>
      <c r="B192" s="1178" t="s">
        <v>707</v>
      </c>
      <c r="C192" s="1179"/>
      <c r="D192" s="526"/>
      <c r="E192" s="584">
        <f>SUM(E193:E194)</f>
        <v>6412333</v>
      </c>
    </row>
    <row r="193" spans="1:5" ht="51">
      <c r="A193" s="1173"/>
      <c r="B193" s="1190"/>
      <c r="C193" s="645" t="s">
        <v>781</v>
      </c>
      <c r="D193" s="646">
        <v>6207</v>
      </c>
      <c r="E193" s="647">
        <v>5450483</v>
      </c>
    </row>
    <row r="194" spans="1:5" ht="55.5" customHeight="1" thickBot="1">
      <c r="A194" s="648"/>
      <c r="B194" s="1191"/>
      <c r="C194" s="649" t="s">
        <v>782</v>
      </c>
      <c r="D194" s="650">
        <v>6209</v>
      </c>
      <c r="E194" s="651">
        <v>961850</v>
      </c>
    </row>
    <row r="195" spans="1:5" ht="13.5" thickBot="1">
      <c r="A195" s="602">
        <v>752</v>
      </c>
      <c r="B195" s="611"/>
      <c r="C195" s="603" t="s">
        <v>783</v>
      </c>
      <c r="D195" s="604"/>
      <c r="E195" s="605">
        <f>SUM(E196)</f>
        <v>3000</v>
      </c>
    </row>
    <row r="196" spans="1:5" ht="13.5" thickBot="1">
      <c r="A196" s="1172"/>
      <c r="B196" s="579">
        <v>75212</v>
      </c>
      <c r="C196" s="506" t="s">
        <v>473</v>
      </c>
      <c r="D196" s="519"/>
      <c r="E196" s="516">
        <f>E197+E199</f>
        <v>3000</v>
      </c>
    </row>
    <row r="197" spans="1:5">
      <c r="A197" s="1173"/>
      <c r="B197" s="1175" t="s">
        <v>697</v>
      </c>
      <c r="C197" s="1168"/>
      <c r="D197" s="569"/>
      <c r="E197" s="520">
        <f>SUM(E198:E198)</f>
        <v>3000</v>
      </c>
    </row>
    <row r="198" spans="1:5" ht="38.25">
      <c r="A198" s="1173"/>
      <c r="B198" s="615"/>
      <c r="C198" s="524" t="s">
        <v>701</v>
      </c>
      <c r="D198" s="525">
        <v>2210</v>
      </c>
      <c r="E198" s="518">
        <v>3000</v>
      </c>
    </row>
    <row r="199" spans="1:5" ht="13.5" thickBot="1">
      <c r="A199" s="1174"/>
      <c r="B199" s="1170" t="s">
        <v>700</v>
      </c>
      <c r="C199" s="1176"/>
      <c r="D199" s="513"/>
      <c r="E199" s="652">
        <v>0</v>
      </c>
    </row>
    <row r="200" spans="1:5" ht="39" thickBot="1">
      <c r="A200" s="602">
        <v>756</v>
      </c>
      <c r="B200" s="611"/>
      <c r="C200" s="603" t="s">
        <v>784</v>
      </c>
      <c r="D200" s="604"/>
      <c r="E200" s="605">
        <f>E201+E206</f>
        <v>180388989</v>
      </c>
    </row>
    <row r="201" spans="1:5" ht="26.25" thickBot="1">
      <c r="A201" s="1172"/>
      <c r="B201" s="564">
        <v>75618</v>
      </c>
      <c r="C201" s="506" t="s">
        <v>785</v>
      </c>
      <c r="D201" s="519"/>
      <c r="E201" s="516">
        <f>E202+E205</f>
        <v>665300</v>
      </c>
    </row>
    <row r="202" spans="1:5">
      <c r="A202" s="1173"/>
      <c r="B202" s="1168" t="s">
        <v>697</v>
      </c>
      <c r="C202" s="1168"/>
      <c r="D202" s="569"/>
      <c r="E202" s="520">
        <f>SUM(E203:E204)</f>
        <v>665300</v>
      </c>
    </row>
    <row r="203" spans="1:5" ht="15.75" customHeight="1">
      <c r="A203" s="1173"/>
      <c r="B203" s="1177"/>
      <c r="C203" s="524" t="s">
        <v>786</v>
      </c>
      <c r="D203" s="539" t="s">
        <v>787</v>
      </c>
      <c r="E203" s="518">
        <v>651300</v>
      </c>
    </row>
    <row r="204" spans="1:5" ht="51">
      <c r="A204" s="1173"/>
      <c r="B204" s="1177"/>
      <c r="C204" s="545" t="s">
        <v>788</v>
      </c>
      <c r="D204" s="653" t="s">
        <v>705</v>
      </c>
      <c r="E204" s="518">
        <v>14000</v>
      </c>
    </row>
    <row r="205" spans="1:5">
      <c r="A205" s="1173"/>
      <c r="B205" s="1178" t="s">
        <v>700</v>
      </c>
      <c r="C205" s="1179"/>
      <c r="D205" s="526"/>
      <c r="E205" s="654">
        <v>0</v>
      </c>
    </row>
    <row r="206" spans="1:5" ht="26.25" thickBot="1">
      <c r="A206" s="1173"/>
      <c r="B206" s="655">
        <v>75623</v>
      </c>
      <c r="C206" s="542" t="s">
        <v>789</v>
      </c>
      <c r="D206" s="543"/>
      <c r="E206" s="656">
        <f>SUM(E210,E207)</f>
        <v>179723689</v>
      </c>
    </row>
    <row r="207" spans="1:5">
      <c r="A207" s="1173"/>
      <c r="B207" s="1168" t="s">
        <v>697</v>
      </c>
      <c r="C207" s="1168"/>
      <c r="D207" s="569"/>
      <c r="E207" s="520">
        <f>SUM(E208:E209)</f>
        <v>179723689</v>
      </c>
    </row>
    <row r="208" spans="1:5">
      <c r="A208" s="1173"/>
      <c r="B208" s="1180"/>
      <c r="C208" s="524" t="s">
        <v>790</v>
      </c>
      <c r="D208" s="539" t="s">
        <v>791</v>
      </c>
      <c r="E208" s="518">
        <v>44875689</v>
      </c>
    </row>
    <row r="209" spans="1:5">
      <c r="A209" s="1173"/>
      <c r="B209" s="1181"/>
      <c r="C209" s="524" t="s">
        <v>792</v>
      </c>
      <c r="D209" s="539" t="s">
        <v>793</v>
      </c>
      <c r="E209" s="518">
        <v>134848000</v>
      </c>
    </row>
    <row r="210" spans="1:5" ht="13.5" thickBot="1">
      <c r="A210" s="1174"/>
      <c r="B210" s="1182" t="s">
        <v>700</v>
      </c>
      <c r="C210" s="1183"/>
      <c r="D210" s="657"/>
      <c r="E210" s="601">
        <v>0</v>
      </c>
    </row>
    <row r="211" spans="1:5" ht="13.5" thickBot="1">
      <c r="A211" s="602">
        <v>758</v>
      </c>
      <c r="B211" s="602"/>
      <c r="C211" s="658" t="s">
        <v>794</v>
      </c>
      <c r="D211" s="659"/>
      <c r="E211" s="605">
        <f>SUM(E212,E216,E220,E224,E228,E236,E242,)</f>
        <v>364726719</v>
      </c>
    </row>
    <row r="212" spans="1:5" s="662" customFormat="1" ht="26.25" thickBot="1">
      <c r="A212" s="1167"/>
      <c r="B212" s="564">
        <v>75801</v>
      </c>
      <c r="C212" s="660" t="s">
        <v>795</v>
      </c>
      <c r="D212" s="661"/>
      <c r="E212" s="516">
        <f>SUM(E213,E215)</f>
        <v>41621077</v>
      </c>
    </row>
    <row r="213" spans="1:5">
      <c r="A213" s="1147"/>
      <c r="B213" s="1168" t="s">
        <v>697</v>
      </c>
      <c r="C213" s="1168"/>
      <c r="D213" s="569"/>
      <c r="E213" s="663">
        <f>SUM(E214)</f>
        <v>41621077</v>
      </c>
    </row>
    <row r="214" spans="1:5" ht="20.25" customHeight="1">
      <c r="A214" s="1147"/>
      <c r="B214" s="664"/>
      <c r="C214" s="665" t="s">
        <v>796</v>
      </c>
      <c r="D214" s="666">
        <v>2920</v>
      </c>
      <c r="E214" s="667">
        <v>41621077</v>
      </c>
    </row>
    <row r="215" spans="1:5" ht="13.5" thickBot="1">
      <c r="A215" s="1147"/>
      <c r="B215" s="1169" t="s">
        <v>700</v>
      </c>
      <c r="C215" s="1169"/>
      <c r="D215" s="668"/>
      <c r="E215" s="669">
        <v>0</v>
      </c>
    </row>
    <row r="216" spans="1:5" ht="13.5" thickBot="1">
      <c r="A216" s="1147"/>
      <c r="B216" s="564">
        <v>75804</v>
      </c>
      <c r="C216" s="660" t="s">
        <v>797</v>
      </c>
      <c r="D216" s="661"/>
      <c r="E216" s="516">
        <f>SUM(E217,E219)</f>
        <v>119303773</v>
      </c>
    </row>
    <row r="217" spans="1:5">
      <c r="A217" s="1147"/>
      <c r="B217" s="1168" t="s">
        <v>697</v>
      </c>
      <c r="C217" s="1168"/>
      <c r="D217" s="569"/>
      <c r="E217" s="663">
        <f>SUM(E218)</f>
        <v>119303773</v>
      </c>
    </row>
    <row r="218" spans="1:5">
      <c r="A218" s="1147"/>
      <c r="B218" s="664"/>
      <c r="C218" s="665" t="s">
        <v>796</v>
      </c>
      <c r="D218" s="666">
        <v>2920</v>
      </c>
      <c r="E218" s="667">
        <v>119303773</v>
      </c>
    </row>
    <row r="219" spans="1:5" ht="13.5" thickBot="1">
      <c r="A219" s="1147"/>
      <c r="B219" s="1170" t="s">
        <v>700</v>
      </c>
      <c r="C219" s="1171"/>
      <c r="D219" s="670"/>
      <c r="E219" s="671">
        <v>0</v>
      </c>
    </row>
    <row r="220" spans="1:5" ht="13.5" thickBot="1">
      <c r="A220" s="1147"/>
      <c r="B220" s="564">
        <v>75814</v>
      </c>
      <c r="C220" s="660" t="s">
        <v>798</v>
      </c>
      <c r="D220" s="661"/>
      <c r="E220" s="516">
        <f>SUM(E221,E223)</f>
        <v>4850000</v>
      </c>
    </row>
    <row r="221" spans="1:5">
      <c r="A221" s="1147"/>
      <c r="B221" s="1168" t="s">
        <v>697</v>
      </c>
      <c r="C221" s="1168"/>
      <c r="D221" s="569"/>
      <c r="E221" s="520">
        <f>SUM(E222)</f>
        <v>4850000</v>
      </c>
    </row>
    <row r="222" spans="1:5" ht="28.5" customHeight="1">
      <c r="A222" s="1147"/>
      <c r="B222" s="664"/>
      <c r="C222" s="665" t="s">
        <v>799</v>
      </c>
      <c r="D222" s="672" t="s">
        <v>800</v>
      </c>
      <c r="E222" s="667">
        <v>4850000</v>
      </c>
    </row>
    <row r="223" spans="1:5" ht="13.5" thickBot="1">
      <c r="A223" s="1147"/>
      <c r="B223" s="1169" t="s">
        <v>700</v>
      </c>
      <c r="C223" s="1169"/>
      <c r="D223" s="668"/>
      <c r="E223" s="669">
        <v>0</v>
      </c>
    </row>
    <row r="224" spans="1:5" ht="13.5" thickBot="1">
      <c r="A224" s="1147"/>
      <c r="B224" s="564">
        <v>75833</v>
      </c>
      <c r="C224" s="660" t="s">
        <v>801</v>
      </c>
      <c r="D224" s="661"/>
      <c r="E224" s="516">
        <f>SUM(E225,E227)</f>
        <v>75793063</v>
      </c>
    </row>
    <row r="225" spans="1:5">
      <c r="A225" s="1147"/>
      <c r="B225" s="1168" t="s">
        <v>697</v>
      </c>
      <c r="C225" s="1168"/>
      <c r="D225" s="569"/>
      <c r="E225" s="663">
        <f>SUM(E226)</f>
        <v>75793063</v>
      </c>
    </row>
    <row r="226" spans="1:5">
      <c r="A226" s="1147"/>
      <c r="B226" s="664"/>
      <c r="C226" s="665" t="s">
        <v>796</v>
      </c>
      <c r="D226" s="672" t="s">
        <v>802</v>
      </c>
      <c r="E226" s="667">
        <v>75793063</v>
      </c>
    </row>
    <row r="227" spans="1:5" ht="13.5" thickBot="1">
      <c r="A227" s="1147"/>
      <c r="B227" s="1169" t="s">
        <v>700</v>
      </c>
      <c r="C227" s="1169"/>
      <c r="D227" s="668"/>
      <c r="E227" s="669">
        <v>0</v>
      </c>
    </row>
    <row r="228" spans="1:5" ht="13.5" thickBot="1">
      <c r="A228" s="1147"/>
      <c r="B228" s="564">
        <v>75861</v>
      </c>
      <c r="C228" s="660" t="s">
        <v>803</v>
      </c>
      <c r="D228" s="661"/>
      <c r="E228" s="516">
        <f>SUM(E229,E232)</f>
        <v>68263193</v>
      </c>
    </row>
    <row r="229" spans="1:5">
      <c r="A229" s="1147"/>
      <c r="B229" s="1168" t="s">
        <v>697</v>
      </c>
      <c r="C229" s="1168"/>
      <c r="D229" s="569"/>
      <c r="E229" s="663">
        <f>SUM(E230:E231)</f>
        <v>12050000</v>
      </c>
    </row>
    <row r="230" spans="1:5" ht="42" customHeight="1">
      <c r="A230" s="1147"/>
      <c r="B230" s="673"/>
      <c r="C230" s="674" t="s">
        <v>804</v>
      </c>
      <c r="D230" s="675">
        <v>2008</v>
      </c>
      <c r="E230" s="667">
        <v>10400000</v>
      </c>
    </row>
    <row r="231" spans="1:5" ht="38.25" customHeight="1">
      <c r="A231" s="1147"/>
      <c r="B231" s="676"/>
      <c r="C231" s="677" t="s">
        <v>805</v>
      </c>
      <c r="D231" s="678">
        <v>2009</v>
      </c>
      <c r="E231" s="667">
        <v>1650000</v>
      </c>
    </row>
    <row r="232" spans="1:5">
      <c r="A232" s="1147"/>
      <c r="B232" s="1154" t="s">
        <v>707</v>
      </c>
      <c r="C232" s="1154"/>
      <c r="D232" s="679"/>
      <c r="E232" s="680">
        <f>SUM(E233:E235)</f>
        <v>56213193</v>
      </c>
    </row>
    <row r="233" spans="1:5" ht="42.75" customHeight="1">
      <c r="A233" s="1147"/>
      <c r="B233" s="1155"/>
      <c r="C233" s="677" t="s">
        <v>806</v>
      </c>
      <c r="D233" s="1163">
        <v>6207</v>
      </c>
      <c r="E233" s="597">
        <v>18566183</v>
      </c>
    </row>
    <row r="234" spans="1:5" ht="54.75" customHeight="1">
      <c r="A234" s="1147"/>
      <c r="B234" s="1162"/>
      <c r="C234" s="677" t="s">
        <v>1049</v>
      </c>
      <c r="D234" s="1164"/>
      <c r="E234" s="597">
        <v>14688010</v>
      </c>
    </row>
    <row r="235" spans="1:5" ht="45" customHeight="1" thickBot="1">
      <c r="A235" s="1147"/>
      <c r="B235" s="1162"/>
      <c r="C235" s="677" t="s">
        <v>807</v>
      </c>
      <c r="D235" s="681">
        <v>6209</v>
      </c>
      <c r="E235" s="597">
        <v>22959000</v>
      </c>
    </row>
    <row r="236" spans="1:5" ht="13.5" thickBot="1">
      <c r="A236" s="1147"/>
      <c r="B236" s="682">
        <v>75862</v>
      </c>
      <c r="C236" s="683" t="s">
        <v>808</v>
      </c>
      <c r="D236" s="684"/>
      <c r="E236" s="516">
        <f>SUM(E237,E240)</f>
        <v>27643613</v>
      </c>
    </row>
    <row r="237" spans="1:5">
      <c r="A237" s="1147"/>
      <c r="B237" s="1136" t="s">
        <v>697</v>
      </c>
      <c r="C237" s="1136"/>
      <c r="D237" s="685"/>
      <c r="E237" s="520">
        <f>SUM(E238:E239)</f>
        <v>27457433</v>
      </c>
    </row>
    <row r="238" spans="1:5" ht="38.25">
      <c r="A238" s="1147"/>
      <c r="B238" s="1165"/>
      <c r="C238" s="677" t="s">
        <v>809</v>
      </c>
      <c r="D238" s="678">
        <v>2007</v>
      </c>
      <c r="E238" s="597">
        <v>10312433</v>
      </c>
    </row>
    <row r="239" spans="1:5" ht="27" customHeight="1">
      <c r="A239" s="1147"/>
      <c r="B239" s="1166"/>
      <c r="C239" s="674" t="s">
        <v>810</v>
      </c>
      <c r="D239" s="675">
        <v>2009</v>
      </c>
      <c r="E239" s="597">
        <v>17145000</v>
      </c>
    </row>
    <row r="240" spans="1:5">
      <c r="A240" s="1147"/>
      <c r="B240" s="1154" t="s">
        <v>707</v>
      </c>
      <c r="C240" s="1154"/>
      <c r="D240" s="686"/>
      <c r="E240" s="527">
        <f>SUM(E241:E241)</f>
        <v>186180</v>
      </c>
    </row>
    <row r="241" spans="1:5" ht="28.5" customHeight="1" thickBot="1">
      <c r="A241" s="1147"/>
      <c r="B241" s="687"/>
      <c r="C241" s="688" t="s">
        <v>810</v>
      </c>
      <c r="D241" s="689">
        <v>6209</v>
      </c>
      <c r="E241" s="690">
        <v>186180</v>
      </c>
    </row>
    <row r="242" spans="1:5" ht="26.25" thickBot="1">
      <c r="A242" s="1147"/>
      <c r="B242" s="682">
        <v>75864</v>
      </c>
      <c r="C242" s="683" t="s">
        <v>811</v>
      </c>
      <c r="D242" s="684"/>
      <c r="E242" s="516">
        <f>SUM(E243,E245)</f>
        <v>27252000</v>
      </c>
    </row>
    <row r="243" spans="1:5">
      <c r="A243" s="1147"/>
      <c r="B243" s="1136" t="s">
        <v>697</v>
      </c>
      <c r="C243" s="1136"/>
      <c r="D243" s="685"/>
      <c r="E243" s="520">
        <f>SUM(E244:E244)</f>
        <v>20241944</v>
      </c>
    </row>
    <row r="244" spans="1:5" ht="38.25">
      <c r="A244" s="1147"/>
      <c r="B244" s="691"/>
      <c r="C244" s="677" t="s">
        <v>812</v>
      </c>
      <c r="D244" s="678">
        <v>2008</v>
      </c>
      <c r="E244" s="597">
        <v>20241944</v>
      </c>
    </row>
    <row r="245" spans="1:5">
      <c r="A245" s="1147"/>
      <c r="B245" s="1154" t="s">
        <v>707</v>
      </c>
      <c r="C245" s="1154"/>
      <c r="D245" s="686"/>
      <c r="E245" s="527">
        <f>SUM(E246:E246)</f>
        <v>7010056</v>
      </c>
    </row>
    <row r="246" spans="1:5" ht="40.5" customHeight="1" thickBot="1">
      <c r="A246" s="1147"/>
      <c r="B246" s="692"/>
      <c r="C246" s="677" t="s">
        <v>812</v>
      </c>
      <c r="D246" s="678">
        <v>6208</v>
      </c>
      <c r="E246" s="597">
        <v>7010056</v>
      </c>
    </row>
    <row r="247" spans="1:5" s="696" customFormat="1" ht="16.5" customHeight="1" thickBot="1">
      <c r="A247" s="602">
        <v>801</v>
      </c>
      <c r="B247" s="693"/>
      <c r="C247" s="694" t="s">
        <v>813</v>
      </c>
      <c r="D247" s="695"/>
      <c r="E247" s="605">
        <v>227330</v>
      </c>
    </row>
    <row r="248" spans="1:5" s="662" customFormat="1" ht="13.5" thickBot="1">
      <c r="A248" s="1140"/>
      <c r="B248" s="697">
        <v>80102</v>
      </c>
      <c r="C248" s="698" t="s">
        <v>509</v>
      </c>
      <c r="D248" s="699"/>
      <c r="E248" s="516">
        <f>SUM(E249,E251)</f>
        <v>1700</v>
      </c>
    </row>
    <row r="249" spans="1:5">
      <c r="A249" s="1141"/>
      <c r="B249" s="1136" t="s">
        <v>697</v>
      </c>
      <c r="C249" s="1136"/>
      <c r="D249" s="685"/>
      <c r="E249" s="520">
        <f>SUM(E250:E250)</f>
        <v>1700</v>
      </c>
    </row>
    <row r="250" spans="1:5" ht="38.25">
      <c r="A250" s="1141"/>
      <c r="B250" s="700"/>
      <c r="C250" s="521" t="s">
        <v>1040</v>
      </c>
      <c r="D250" s="701" t="s">
        <v>705</v>
      </c>
      <c r="E250" s="597">
        <v>1700</v>
      </c>
    </row>
    <row r="251" spans="1:5" ht="13.5" thickBot="1">
      <c r="A251" s="1141"/>
      <c r="B251" s="1139" t="s">
        <v>700</v>
      </c>
      <c r="C251" s="1139"/>
      <c r="D251" s="702"/>
      <c r="E251" s="669">
        <v>0</v>
      </c>
    </row>
    <row r="252" spans="1:5" s="662" customFormat="1" ht="13.5" thickBot="1">
      <c r="A252" s="1141"/>
      <c r="B252" s="697">
        <v>80130</v>
      </c>
      <c r="C252" s="698" t="s">
        <v>505</v>
      </c>
      <c r="D252" s="699"/>
      <c r="E252" s="516">
        <f>SUM(E253,E255)</f>
        <v>7650</v>
      </c>
    </row>
    <row r="253" spans="1:5">
      <c r="A253" s="1141"/>
      <c r="B253" s="1136" t="s">
        <v>697</v>
      </c>
      <c r="C253" s="1136"/>
      <c r="D253" s="685"/>
      <c r="E253" s="520">
        <f>SUM(E254:E254)</f>
        <v>7650</v>
      </c>
    </row>
    <row r="254" spans="1:5" ht="51">
      <c r="A254" s="1141"/>
      <c r="B254" s="703"/>
      <c r="C254" s="920" t="s">
        <v>1041</v>
      </c>
      <c r="D254" s="701" t="s">
        <v>705</v>
      </c>
      <c r="E254" s="597">
        <v>7650</v>
      </c>
    </row>
    <row r="255" spans="1:5" ht="13.5" thickBot="1">
      <c r="A255" s="1141"/>
      <c r="B255" s="1154" t="s">
        <v>726</v>
      </c>
      <c r="C255" s="1154"/>
      <c r="D255" s="704"/>
      <c r="E255" s="680">
        <v>0</v>
      </c>
    </row>
    <row r="256" spans="1:5" s="662" customFormat="1" ht="13.5" thickBot="1">
      <c r="A256" s="1141"/>
      <c r="B256" s="697">
        <v>80141</v>
      </c>
      <c r="C256" s="698" t="s">
        <v>520</v>
      </c>
      <c r="D256" s="699"/>
      <c r="E256" s="516">
        <f>SUM(E257,E259)</f>
        <v>4750</v>
      </c>
    </row>
    <row r="257" spans="1:5">
      <c r="A257" s="1141"/>
      <c r="B257" s="1136" t="s">
        <v>697</v>
      </c>
      <c r="C257" s="1136"/>
      <c r="D257" s="685"/>
      <c r="E257" s="520">
        <f>SUM(E258:E258)</f>
        <v>4750</v>
      </c>
    </row>
    <row r="258" spans="1:5" ht="38.25">
      <c r="A258" s="1141"/>
      <c r="B258" s="692"/>
      <c r="C258" s="521" t="s">
        <v>1042</v>
      </c>
      <c r="D258" s="701" t="s">
        <v>705</v>
      </c>
      <c r="E258" s="597">
        <v>4750</v>
      </c>
    </row>
    <row r="259" spans="1:5" ht="13.5" thickBot="1">
      <c r="A259" s="1141"/>
      <c r="B259" s="1143" t="s">
        <v>700</v>
      </c>
      <c r="C259" s="1144"/>
      <c r="D259" s="705"/>
      <c r="E259" s="504">
        <v>0</v>
      </c>
    </row>
    <row r="260" spans="1:5" s="662" customFormat="1" ht="13.5" thickBot="1">
      <c r="A260" s="1141"/>
      <c r="B260" s="697">
        <v>80146</v>
      </c>
      <c r="C260" s="698" t="s">
        <v>814</v>
      </c>
      <c r="D260" s="699"/>
      <c r="E260" s="516">
        <f>SUM(E261,E266)</f>
        <v>176560</v>
      </c>
    </row>
    <row r="261" spans="1:5">
      <c r="A261" s="1141"/>
      <c r="B261" s="1136" t="s">
        <v>697</v>
      </c>
      <c r="C261" s="1136"/>
      <c r="D261" s="685"/>
      <c r="E261" s="520">
        <f>SUM(E262:E265)</f>
        <v>176560</v>
      </c>
    </row>
    <row r="262" spans="1:5" ht="65.25" customHeight="1">
      <c r="A262" s="1141"/>
      <c r="B262" s="1151"/>
      <c r="C262" s="706" t="s">
        <v>815</v>
      </c>
      <c r="D262" s="1157" t="s">
        <v>422</v>
      </c>
      <c r="E262" s="597">
        <v>102438</v>
      </c>
    </row>
    <row r="263" spans="1:5" ht="66.75" customHeight="1">
      <c r="A263" s="1141"/>
      <c r="B263" s="1137"/>
      <c r="C263" s="707" t="s">
        <v>816</v>
      </c>
      <c r="D263" s="1158"/>
      <c r="E263" s="597">
        <v>47638</v>
      </c>
    </row>
    <row r="264" spans="1:5" ht="69" customHeight="1">
      <c r="A264" s="1141"/>
      <c r="B264" s="1137"/>
      <c r="C264" s="707" t="s">
        <v>817</v>
      </c>
      <c r="D264" s="1149" t="s">
        <v>348</v>
      </c>
      <c r="E264" s="597">
        <v>18077</v>
      </c>
    </row>
    <row r="265" spans="1:5" ht="65.25" customHeight="1">
      <c r="A265" s="1141"/>
      <c r="B265" s="1137"/>
      <c r="C265" s="707" t="s">
        <v>818</v>
      </c>
      <c r="D265" s="1150"/>
      <c r="E265" s="597">
        <v>8407</v>
      </c>
    </row>
    <row r="266" spans="1:5" ht="13.5" thickBot="1">
      <c r="A266" s="1141"/>
      <c r="B266" s="1143" t="s">
        <v>700</v>
      </c>
      <c r="C266" s="1144"/>
      <c r="D266" s="705"/>
      <c r="E266" s="504">
        <v>0</v>
      </c>
    </row>
    <row r="267" spans="1:5" s="662" customFormat="1" ht="13.5" thickBot="1">
      <c r="A267" s="1141"/>
      <c r="B267" s="697">
        <v>80147</v>
      </c>
      <c r="C267" s="698" t="s">
        <v>530</v>
      </c>
      <c r="D267" s="699"/>
      <c r="E267" s="516">
        <f>SUM(E268,E272)</f>
        <v>36670</v>
      </c>
    </row>
    <row r="268" spans="1:5">
      <c r="A268" s="1141"/>
      <c r="B268" s="1136" t="s">
        <v>697</v>
      </c>
      <c r="C268" s="1136"/>
      <c r="D268" s="685"/>
      <c r="E268" s="520">
        <f>SUM(E269:E271)</f>
        <v>36670</v>
      </c>
    </row>
    <row r="269" spans="1:5" ht="16.5" customHeight="1">
      <c r="A269" s="1141"/>
      <c r="B269" s="1151"/>
      <c r="C269" s="1159" t="s">
        <v>1043</v>
      </c>
      <c r="D269" s="701" t="s">
        <v>704</v>
      </c>
      <c r="E269" s="597">
        <v>840</v>
      </c>
    </row>
    <row r="270" spans="1:5" ht="16.5" customHeight="1">
      <c r="A270" s="1141"/>
      <c r="B270" s="1137"/>
      <c r="C270" s="1160"/>
      <c r="D270" s="701" t="s">
        <v>699</v>
      </c>
      <c r="E270" s="597">
        <v>6000</v>
      </c>
    </row>
    <row r="271" spans="1:5" ht="17.25" customHeight="1">
      <c r="A271" s="1141"/>
      <c r="B271" s="1137"/>
      <c r="C271" s="1161"/>
      <c r="D271" s="701" t="s">
        <v>705</v>
      </c>
      <c r="E271" s="597">
        <v>29830</v>
      </c>
    </row>
    <row r="272" spans="1:5" ht="13.5" thickBot="1">
      <c r="A272" s="1141"/>
      <c r="B272" s="1143" t="s">
        <v>707</v>
      </c>
      <c r="C272" s="1144"/>
      <c r="D272" s="708"/>
      <c r="E272" s="671">
        <v>0</v>
      </c>
    </row>
    <row r="273" spans="1:5" s="696" customFormat="1" ht="13.5" thickBot="1">
      <c r="A273" s="602">
        <v>851</v>
      </c>
      <c r="B273" s="709"/>
      <c r="C273" s="710" t="s">
        <v>819</v>
      </c>
      <c r="D273" s="711"/>
      <c r="E273" s="712">
        <f>SUM(E274,)</f>
        <v>40000</v>
      </c>
    </row>
    <row r="274" spans="1:5" s="662" customFormat="1" ht="26.25" thickBot="1">
      <c r="A274" s="1141"/>
      <c r="B274" s="713">
        <v>85156</v>
      </c>
      <c r="C274" s="683" t="s">
        <v>820</v>
      </c>
      <c r="D274" s="684"/>
      <c r="E274" s="516">
        <f>SUM(E275,E277)</f>
        <v>40000</v>
      </c>
    </row>
    <row r="275" spans="1:5" ht="12.75" customHeight="1">
      <c r="A275" s="1141"/>
      <c r="B275" s="1136" t="s">
        <v>697</v>
      </c>
      <c r="C275" s="1136"/>
      <c r="D275" s="685"/>
      <c r="E275" s="663">
        <f>SUM(E276)</f>
        <v>40000</v>
      </c>
    </row>
    <row r="276" spans="1:5" ht="41.25" customHeight="1">
      <c r="A276" s="1141"/>
      <c r="B276" s="714"/>
      <c r="C276" s="674" t="s">
        <v>701</v>
      </c>
      <c r="D276" s="675">
        <v>2210</v>
      </c>
      <c r="E276" s="667">
        <v>40000</v>
      </c>
    </row>
    <row r="277" spans="1:5" ht="13.5" thickBot="1">
      <c r="A277" s="1142"/>
      <c r="B277" s="1139" t="s">
        <v>700</v>
      </c>
      <c r="C277" s="1139"/>
      <c r="D277" s="702"/>
      <c r="E277" s="669">
        <v>0</v>
      </c>
    </row>
    <row r="278" spans="1:5" s="696" customFormat="1" ht="13.5" thickBot="1">
      <c r="A278" s="602">
        <v>852</v>
      </c>
      <c r="B278" s="693"/>
      <c r="C278" s="694" t="s">
        <v>821</v>
      </c>
      <c r="D278" s="695"/>
      <c r="E278" s="605">
        <f>SUM(E279,E284,E288,)</f>
        <v>6214650</v>
      </c>
    </row>
    <row r="279" spans="1:5" s="662" customFormat="1" ht="39" thickBot="1">
      <c r="A279" s="715"/>
      <c r="B279" s="713">
        <v>85212</v>
      </c>
      <c r="C279" s="683" t="s">
        <v>822</v>
      </c>
      <c r="D279" s="684"/>
      <c r="E279" s="516">
        <f>SUM(E280,E283)</f>
        <v>1639308</v>
      </c>
    </row>
    <row r="280" spans="1:5">
      <c r="A280" s="715"/>
      <c r="B280" s="1136" t="s">
        <v>697</v>
      </c>
      <c r="C280" s="1136"/>
      <c r="D280" s="685"/>
      <c r="E280" s="520">
        <f>SUM(E281:E282)</f>
        <v>1639308</v>
      </c>
    </row>
    <row r="281" spans="1:5" ht="28.5" customHeight="1">
      <c r="A281" s="715"/>
      <c r="B281" s="1155"/>
      <c r="C281" s="677" t="s">
        <v>823</v>
      </c>
      <c r="D281" s="716" t="s">
        <v>705</v>
      </c>
      <c r="E281" s="597">
        <v>308</v>
      </c>
    </row>
    <row r="282" spans="1:5" ht="38.25">
      <c r="A282" s="715"/>
      <c r="B282" s="1156"/>
      <c r="C282" s="674" t="s">
        <v>701</v>
      </c>
      <c r="D282" s="716" t="s">
        <v>766</v>
      </c>
      <c r="E282" s="597">
        <v>1639000</v>
      </c>
    </row>
    <row r="283" spans="1:5" ht="13.5" thickBot="1">
      <c r="A283" s="715"/>
      <c r="B283" s="1153" t="s">
        <v>700</v>
      </c>
      <c r="C283" s="1139"/>
      <c r="D283" s="702"/>
      <c r="E283" s="717">
        <v>0</v>
      </c>
    </row>
    <row r="284" spans="1:5" ht="13.5" thickBot="1">
      <c r="A284" s="1140"/>
      <c r="B284" s="682">
        <v>85226</v>
      </c>
      <c r="C284" s="718" t="s">
        <v>910</v>
      </c>
      <c r="D284" s="699"/>
      <c r="E284" s="516">
        <f>SUM(E285,E287)</f>
        <v>700000</v>
      </c>
    </row>
    <row r="285" spans="1:5">
      <c r="A285" s="1141"/>
      <c r="B285" s="1136" t="s">
        <v>697</v>
      </c>
      <c r="C285" s="1136"/>
      <c r="D285" s="685"/>
      <c r="E285" s="663">
        <f>SUM(E286)</f>
        <v>700000</v>
      </c>
    </row>
    <row r="286" spans="1:5" ht="38.25">
      <c r="A286" s="1141"/>
      <c r="B286" s="719"/>
      <c r="C286" s="674" t="s">
        <v>701</v>
      </c>
      <c r="D286" s="678">
        <v>2210</v>
      </c>
      <c r="E286" s="597">
        <v>700000</v>
      </c>
    </row>
    <row r="287" spans="1:5" ht="13.5" thickBot="1">
      <c r="A287" s="1141"/>
      <c r="B287" s="1139" t="s">
        <v>707</v>
      </c>
      <c r="C287" s="1139"/>
      <c r="D287" s="702"/>
      <c r="E287" s="669">
        <v>0</v>
      </c>
    </row>
    <row r="288" spans="1:5" s="662" customFormat="1" ht="13.5" thickBot="1">
      <c r="A288" s="1141"/>
      <c r="B288" s="713">
        <v>85295</v>
      </c>
      <c r="C288" s="683" t="s">
        <v>332</v>
      </c>
      <c r="D288" s="684"/>
      <c r="E288" s="516">
        <f>SUM(E289,E291)</f>
        <v>3875342</v>
      </c>
    </row>
    <row r="289" spans="1:5">
      <c r="A289" s="1141"/>
      <c r="B289" s="1136" t="s">
        <v>697</v>
      </c>
      <c r="C289" s="1136"/>
      <c r="D289" s="685"/>
      <c r="E289" s="520">
        <f>SUM(E290:E290)</f>
        <v>768941</v>
      </c>
    </row>
    <row r="290" spans="1:5" ht="79.5" customHeight="1">
      <c r="A290" s="1141"/>
      <c r="B290" s="720"/>
      <c r="C290" s="677" t="s">
        <v>824</v>
      </c>
      <c r="D290" s="716" t="s">
        <v>422</v>
      </c>
      <c r="E290" s="597">
        <v>768941</v>
      </c>
    </row>
    <row r="291" spans="1:5">
      <c r="A291" s="1141"/>
      <c r="B291" s="1154" t="s">
        <v>707</v>
      </c>
      <c r="C291" s="1154"/>
      <c r="D291" s="679"/>
      <c r="E291" s="680">
        <f>SUM(E292)</f>
        <v>3106401</v>
      </c>
    </row>
    <row r="292" spans="1:5" ht="93.75" customHeight="1" thickBot="1">
      <c r="A292" s="1142"/>
      <c r="B292" s="721"/>
      <c r="C292" s="722" t="s">
        <v>825</v>
      </c>
      <c r="D292" s="723" t="s">
        <v>394</v>
      </c>
      <c r="E292" s="724">
        <v>3106401</v>
      </c>
    </row>
    <row r="293" spans="1:5" s="696" customFormat="1" ht="13.5" thickBot="1">
      <c r="A293" s="602">
        <v>853</v>
      </c>
      <c r="B293" s="709"/>
      <c r="C293" s="710" t="s">
        <v>826</v>
      </c>
      <c r="D293" s="711"/>
      <c r="E293" s="712">
        <f>SUM(E298,E294)</f>
        <v>14374498</v>
      </c>
    </row>
    <row r="294" spans="1:5" ht="13.5" thickBot="1">
      <c r="A294" s="715"/>
      <c r="B294" s="682">
        <v>85324</v>
      </c>
      <c r="C294" s="718" t="s">
        <v>827</v>
      </c>
      <c r="D294" s="699"/>
      <c r="E294" s="516">
        <f>SUM(E295,E297)</f>
        <v>250000</v>
      </c>
    </row>
    <row r="295" spans="1:5">
      <c r="A295" s="715"/>
      <c r="B295" s="1136" t="s">
        <v>697</v>
      </c>
      <c r="C295" s="1136"/>
      <c r="D295" s="685"/>
      <c r="E295" s="663">
        <f>SUM(E296)</f>
        <v>250000</v>
      </c>
    </row>
    <row r="296" spans="1:5" ht="25.5">
      <c r="A296" s="715"/>
      <c r="B296" s="719"/>
      <c r="C296" s="674" t="s">
        <v>828</v>
      </c>
      <c r="D296" s="716" t="s">
        <v>705</v>
      </c>
      <c r="E296" s="597">
        <v>250000</v>
      </c>
    </row>
    <row r="297" spans="1:5" ht="13.5" thickBot="1">
      <c r="A297" s="715"/>
      <c r="B297" s="1143" t="s">
        <v>700</v>
      </c>
      <c r="C297" s="1144"/>
      <c r="D297" s="705"/>
      <c r="E297" s="671">
        <v>0</v>
      </c>
    </row>
    <row r="298" spans="1:5" s="662" customFormat="1" ht="13.5" thickBot="1">
      <c r="A298" s="1147"/>
      <c r="B298" s="682">
        <v>85332</v>
      </c>
      <c r="C298" s="683" t="s">
        <v>829</v>
      </c>
      <c r="D298" s="684"/>
      <c r="E298" s="516">
        <f>SUM(E299,E305)</f>
        <v>14124498</v>
      </c>
    </row>
    <row r="299" spans="1:5">
      <c r="A299" s="1147"/>
      <c r="B299" s="1136" t="s">
        <v>697</v>
      </c>
      <c r="C299" s="1136"/>
      <c r="D299" s="685"/>
      <c r="E299" s="663">
        <f>SUM(E300:E304)</f>
        <v>14082598</v>
      </c>
    </row>
    <row r="300" spans="1:5" ht="39.75" customHeight="1">
      <c r="A300" s="1147"/>
      <c r="B300" s="1148"/>
      <c r="C300" s="725" t="s">
        <v>830</v>
      </c>
      <c r="D300" s="726" t="s">
        <v>705</v>
      </c>
      <c r="E300" s="667">
        <v>157498</v>
      </c>
    </row>
    <row r="301" spans="1:5" ht="43.5" customHeight="1">
      <c r="A301" s="1147"/>
      <c r="B301" s="1148"/>
      <c r="C301" s="677" t="s">
        <v>831</v>
      </c>
      <c r="D301" s="1149" t="s">
        <v>614</v>
      </c>
      <c r="E301" s="667">
        <v>10086100</v>
      </c>
    </row>
    <row r="302" spans="1:5" ht="40.5" customHeight="1">
      <c r="A302" s="1147"/>
      <c r="B302" s="1148"/>
      <c r="C302" s="677" t="s">
        <v>832</v>
      </c>
      <c r="D302" s="1150"/>
      <c r="E302" s="667">
        <v>2740000</v>
      </c>
    </row>
    <row r="303" spans="1:5" ht="43.5" customHeight="1">
      <c r="A303" s="1147"/>
      <c r="B303" s="1148"/>
      <c r="C303" s="674" t="s">
        <v>701</v>
      </c>
      <c r="D303" s="726" t="s">
        <v>766</v>
      </c>
      <c r="E303" s="667">
        <v>5000</v>
      </c>
    </row>
    <row r="304" spans="1:5" ht="15.75" customHeight="1">
      <c r="A304" s="1147"/>
      <c r="B304" s="1148"/>
      <c r="C304" s="677" t="s">
        <v>833</v>
      </c>
      <c r="D304" s="716" t="s">
        <v>738</v>
      </c>
      <c r="E304" s="667">
        <v>1094000</v>
      </c>
    </row>
    <row r="305" spans="1:5">
      <c r="A305" s="1147"/>
      <c r="B305" s="1139" t="s">
        <v>707</v>
      </c>
      <c r="C305" s="1139"/>
      <c r="D305" s="702"/>
      <c r="E305" s="669">
        <f>E306+E307</f>
        <v>41900</v>
      </c>
    </row>
    <row r="306" spans="1:5" ht="37.5" customHeight="1">
      <c r="A306" s="1147"/>
      <c r="B306" s="1151"/>
      <c r="C306" s="677" t="s">
        <v>831</v>
      </c>
      <c r="D306" s="1149" t="s">
        <v>834</v>
      </c>
      <c r="E306" s="667">
        <v>28900</v>
      </c>
    </row>
    <row r="307" spans="1:5" ht="39" customHeight="1" thickBot="1">
      <c r="A307" s="1147"/>
      <c r="B307" s="1152"/>
      <c r="C307" s="677" t="s">
        <v>832</v>
      </c>
      <c r="D307" s="1150"/>
      <c r="E307" s="667">
        <v>13000</v>
      </c>
    </row>
    <row r="308" spans="1:5" s="696" customFormat="1" ht="13.5" thickBot="1">
      <c r="A308" s="602">
        <v>900</v>
      </c>
      <c r="B308" s="709"/>
      <c r="C308" s="710" t="s">
        <v>835</v>
      </c>
      <c r="D308" s="711"/>
      <c r="E308" s="712">
        <f>SUM(E309,E313,E317,)</f>
        <v>655184</v>
      </c>
    </row>
    <row r="309" spans="1:5" s="662" customFormat="1" ht="26.25" thickBot="1">
      <c r="A309" s="1145"/>
      <c r="B309" s="682">
        <v>90019</v>
      </c>
      <c r="C309" s="683" t="s">
        <v>637</v>
      </c>
      <c r="D309" s="684"/>
      <c r="E309" s="516">
        <f>SUM(E310,E312)</f>
        <v>650000</v>
      </c>
    </row>
    <row r="310" spans="1:5">
      <c r="A310" s="1145"/>
      <c r="B310" s="1136" t="s">
        <v>697</v>
      </c>
      <c r="C310" s="1136"/>
      <c r="D310" s="685"/>
      <c r="E310" s="520">
        <f>SUM(E311:E311)</f>
        <v>650000</v>
      </c>
    </row>
    <row r="311" spans="1:5" ht="38.25">
      <c r="A311" s="1145"/>
      <c r="B311" s="727"/>
      <c r="C311" s="674" t="s">
        <v>836</v>
      </c>
      <c r="D311" s="726" t="s">
        <v>718</v>
      </c>
      <c r="E311" s="728">
        <v>650000</v>
      </c>
    </row>
    <row r="312" spans="1:5" ht="13.5" thickBot="1">
      <c r="A312" s="1145"/>
      <c r="B312" s="1139" t="s">
        <v>700</v>
      </c>
      <c r="C312" s="1139"/>
      <c r="D312" s="702"/>
      <c r="E312" s="669">
        <v>0</v>
      </c>
    </row>
    <row r="313" spans="1:5" s="662" customFormat="1" ht="26.25" thickBot="1">
      <c r="A313" s="1145"/>
      <c r="B313" s="682">
        <v>90020</v>
      </c>
      <c r="C313" s="683" t="s">
        <v>639</v>
      </c>
      <c r="D313" s="684"/>
      <c r="E313" s="516">
        <f>SUM(E314,E316)</f>
        <v>1500</v>
      </c>
    </row>
    <row r="314" spans="1:5">
      <c r="A314" s="1145"/>
      <c r="B314" s="1136" t="s">
        <v>697</v>
      </c>
      <c r="C314" s="1136"/>
      <c r="D314" s="685"/>
      <c r="E314" s="520">
        <f>SUM(E315)</f>
        <v>1500</v>
      </c>
    </row>
    <row r="315" spans="1:5">
      <c r="A315" s="1145"/>
      <c r="B315" s="729"/>
      <c r="C315" s="674" t="s">
        <v>837</v>
      </c>
      <c r="D315" s="726" t="s">
        <v>838</v>
      </c>
      <c r="E315" s="597">
        <v>1500</v>
      </c>
    </row>
    <row r="316" spans="1:5" ht="13.5" thickBot="1">
      <c r="A316" s="1145"/>
      <c r="B316" s="1143" t="s">
        <v>700</v>
      </c>
      <c r="C316" s="1144"/>
      <c r="D316" s="705"/>
      <c r="E316" s="671">
        <v>0</v>
      </c>
    </row>
    <row r="317" spans="1:5" ht="26.25" thickBot="1">
      <c r="A317" s="1145"/>
      <c r="B317" s="730">
        <v>90024</v>
      </c>
      <c r="C317" s="731" t="s">
        <v>839</v>
      </c>
      <c r="D317" s="732"/>
      <c r="E317" s="656">
        <f>SUM(E318,E320)</f>
        <v>3684</v>
      </c>
    </row>
    <row r="318" spans="1:5">
      <c r="A318" s="1145"/>
      <c r="B318" s="1146" t="s">
        <v>697</v>
      </c>
      <c r="C318" s="1146"/>
      <c r="D318" s="733"/>
      <c r="E318" s="582">
        <f>SUM(E319:E319)</f>
        <v>3684</v>
      </c>
    </row>
    <row r="319" spans="1:5" ht="38.25">
      <c r="A319" s="1145"/>
      <c r="B319" s="727"/>
      <c r="C319" s="734" t="s">
        <v>706</v>
      </c>
      <c r="D319" s="735" t="s">
        <v>337</v>
      </c>
      <c r="E319" s="597">
        <v>3684</v>
      </c>
    </row>
    <row r="320" spans="1:5" ht="13.5" thickBot="1">
      <c r="A320" s="1145"/>
      <c r="B320" s="1143" t="s">
        <v>700</v>
      </c>
      <c r="C320" s="1144"/>
      <c r="D320" s="705"/>
      <c r="E320" s="671">
        <v>0</v>
      </c>
    </row>
    <row r="321" spans="1:5" s="696" customFormat="1" ht="13.5" thickBot="1">
      <c r="A321" s="556">
        <v>921</v>
      </c>
      <c r="B321" s="736"/>
      <c r="C321" s="737" t="s">
        <v>41</v>
      </c>
      <c r="D321" s="738"/>
      <c r="E321" s="739">
        <f>SUM(E322)</f>
        <v>3023870</v>
      </c>
    </row>
    <row r="322" spans="1:5" s="662" customFormat="1" ht="13.5" thickBot="1">
      <c r="A322" s="1135"/>
      <c r="B322" s="713">
        <v>92116</v>
      </c>
      <c r="C322" s="683" t="s">
        <v>840</v>
      </c>
      <c r="D322" s="684"/>
      <c r="E322" s="516">
        <f>SUM(E323,E326)</f>
        <v>3023870</v>
      </c>
    </row>
    <row r="323" spans="1:5">
      <c r="A323" s="1135"/>
      <c r="B323" s="1136" t="s">
        <v>697</v>
      </c>
      <c r="C323" s="1136"/>
      <c r="D323" s="685"/>
      <c r="E323" s="663">
        <f>SUM(E324:E325)</f>
        <v>3023870</v>
      </c>
    </row>
    <row r="324" spans="1:5" ht="38.25">
      <c r="A324" s="1135"/>
      <c r="B324" s="1137"/>
      <c r="C324" s="674" t="s">
        <v>841</v>
      </c>
      <c r="D324" s="675">
        <v>2310</v>
      </c>
      <c r="E324" s="667">
        <v>2951870</v>
      </c>
    </row>
    <row r="325" spans="1:5" ht="38.25">
      <c r="A325" s="1135"/>
      <c r="B325" s="1138"/>
      <c r="C325" s="674" t="s">
        <v>842</v>
      </c>
      <c r="D325" s="675">
        <v>2320</v>
      </c>
      <c r="E325" s="667">
        <v>72000</v>
      </c>
    </row>
    <row r="326" spans="1:5" ht="13.5" thickBot="1">
      <c r="A326" s="1135"/>
      <c r="B326" s="1139" t="s">
        <v>700</v>
      </c>
      <c r="C326" s="1139"/>
      <c r="D326" s="702"/>
      <c r="E326" s="740">
        <v>0</v>
      </c>
    </row>
    <row r="327" spans="1:5" s="696" customFormat="1" ht="30" customHeight="1" thickBot="1">
      <c r="A327" s="602">
        <v>925</v>
      </c>
      <c r="B327" s="741"/>
      <c r="C327" s="742" t="s">
        <v>843</v>
      </c>
      <c r="D327" s="743"/>
      <c r="E327" s="605">
        <f>E328</f>
        <v>725000</v>
      </c>
    </row>
    <row r="328" spans="1:5" s="662" customFormat="1" ht="13.5" thickBot="1">
      <c r="A328" s="1140"/>
      <c r="B328" s="744">
        <v>92502</v>
      </c>
      <c r="C328" s="698" t="s">
        <v>668</v>
      </c>
      <c r="D328" s="699"/>
      <c r="E328" s="516">
        <f>SUM(E329,E331)</f>
        <v>725000</v>
      </c>
    </row>
    <row r="329" spans="1:5">
      <c r="A329" s="1141"/>
      <c r="B329" s="1136" t="s">
        <v>697</v>
      </c>
      <c r="C329" s="1136"/>
      <c r="D329" s="685"/>
      <c r="E329" s="520">
        <f>SUM(E330:E330)</f>
        <v>725000</v>
      </c>
    </row>
    <row r="330" spans="1:5" ht="28.5" customHeight="1">
      <c r="A330" s="1141"/>
      <c r="B330" s="692"/>
      <c r="C330" s="677" t="s">
        <v>844</v>
      </c>
      <c r="D330" s="678">
        <v>2230</v>
      </c>
      <c r="E330" s="597">
        <v>725000</v>
      </c>
    </row>
    <row r="331" spans="1:5" ht="13.5" thickBot="1">
      <c r="A331" s="1142"/>
      <c r="B331" s="1143" t="s">
        <v>700</v>
      </c>
      <c r="C331" s="1144"/>
      <c r="D331" s="705"/>
      <c r="E331" s="671">
        <v>0</v>
      </c>
    </row>
    <row r="332" spans="1:5" ht="34.5" customHeight="1" thickBot="1">
      <c r="A332" s="1120" t="s">
        <v>40</v>
      </c>
      <c r="B332" s="1121"/>
      <c r="C332" s="1121"/>
      <c r="D332" s="326"/>
      <c r="E332" s="745">
        <f>SUM(E8,E55,E66,E72,E107,E118,E126,E152,E159,E195,E200,E211,E247,E273,E278,E293,E308,E321,E327,E61,)</f>
        <v>1152637014</v>
      </c>
    </row>
    <row r="333" spans="1:5">
      <c r="A333" s="1122" t="s">
        <v>2</v>
      </c>
      <c r="B333" s="1123"/>
      <c r="C333" s="1124"/>
      <c r="D333" s="746"/>
      <c r="E333" s="747"/>
    </row>
    <row r="334" spans="1:5">
      <c r="A334" s="1125" t="s">
        <v>845</v>
      </c>
      <c r="B334" s="1126"/>
      <c r="C334" s="1127"/>
      <c r="D334" s="748"/>
      <c r="E334" s="749">
        <f>E10+E14+E18+E24+E34+E43+E47+E52+E57+E68+E74+E85+E89+E93+E102+E109+E120+E128+E133+E138+E144+E148+E154+E161+E167+E171+E178+E183+E188+E197+E202+E207+E213+E217+E221+E225+E229+E243+E249+E253+E257+E261+E268+E275+E280+E285+E289+E295+E299+E310+E314+E318+E323+E329+E63+E237</f>
        <v>670772978</v>
      </c>
    </row>
    <row r="335" spans="1:5" ht="13.5" thickBot="1">
      <c r="A335" s="1128" t="s">
        <v>846</v>
      </c>
      <c r="B335" s="1129"/>
      <c r="C335" s="1130"/>
      <c r="D335" s="750"/>
      <c r="E335" s="751">
        <f>E12+E16+E22+E27+E39+E45+E48+E54+E60+E71+E79+E87+E91+E97+E106+E113+E123+E131+E136+E142+E146+E150+E156+E165+E169+E176+E181+E186+E192+E199+E205+E210+E215+E219+E223+E227+E232+E240+E245+E251+E255+E259+E266+E272+E277+E283+E287+E291+E297+E305+E312+E316+E320+E326+E331</f>
        <v>481864036</v>
      </c>
    </row>
    <row r="336" spans="1:5">
      <c r="B336" s="481"/>
    </row>
    <row r="337" spans="1:9" s="752" customFormat="1">
      <c r="A337" s="481"/>
      <c r="B337" s="481"/>
      <c r="C337" s="485"/>
      <c r="D337" s="482"/>
      <c r="E337" s="482"/>
      <c r="F337" s="1"/>
      <c r="G337" s="1"/>
      <c r="H337" s="1"/>
      <c r="I337" s="1"/>
    </row>
    <row r="338" spans="1:9">
      <c r="A338" s="1131" t="s">
        <v>845</v>
      </c>
      <c r="B338" s="1131"/>
      <c r="C338" s="1131"/>
      <c r="D338" s="1131"/>
      <c r="E338" s="753">
        <f>SUM(E339:E346,E349,E353)</f>
        <v>670772978</v>
      </c>
    </row>
    <row r="339" spans="1:9">
      <c r="A339" s="754"/>
      <c r="B339" s="754">
        <v>1</v>
      </c>
      <c r="C339" s="755" t="s">
        <v>847</v>
      </c>
      <c r="D339" s="755"/>
      <c r="E339" s="756">
        <f>40000+5000000+3665000+1221000+1489000+851000+15000+57400000+72000+5000+226000+87000+100000+723000+20000+3000+40000+1639000+700000+5000</f>
        <v>73301000</v>
      </c>
    </row>
    <row r="340" spans="1:9">
      <c r="A340" s="754"/>
      <c r="B340" s="754">
        <v>2</v>
      </c>
      <c r="C340" s="755" t="s">
        <v>848</v>
      </c>
      <c r="D340" s="755"/>
      <c r="E340" s="756">
        <f>5047945+1094000</f>
        <v>6141945</v>
      </c>
    </row>
    <row r="341" spans="1:9">
      <c r="A341" s="754"/>
      <c r="B341" s="754">
        <v>3</v>
      </c>
      <c r="C341" s="755" t="s">
        <v>849</v>
      </c>
      <c r="D341" s="755"/>
      <c r="E341" s="756">
        <f>10918052+5000+67000+725000</f>
        <v>11715052</v>
      </c>
    </row>
    <row r="342" spans="1:9">
      <c r="A342" s="754"/>
      <c r="B342" s="754">
        <v>4</v>
      </c>
      <c r="C342" s="755" t="s">
        <v>850</v>
      </c>
      <c r="D342" s="755"/>
      <c r="E342" s="756">
        <f>2951870+72000</f>
        <v>3023870</v>
      </c>
    </row>
    <row r="343" spans="1:9">
      <c r="A343" s="754"/>
      <c r="B343" s="754">
        <v>5</v>
      </c>
      <c r="C343" s="755" t="s">
        <v>908</v>
      </c>
      <c r="D343" s="755"/>
      <c r="E343" s="756">
        <f>111639+140750+130108+13175+1700000+10312433+102438+47638+768941</f>
        <v>13327122</v>
      </c>
    </row>
    <row r="344" spans="1:9" ht="25.5">
      <c r="A344" s="754"/>
      <c r="B344" s="754">
        <v>6</v>
      </c>
      <c r="C344" s="757" t="s">
        <v>851</v>
      </c>
      <c r="D344" s="755"/>
      <c r="E344" s="756">
        <f>609000+219000+19701+29250+300000+2325+10400000+1650000+17145000+20241944+18077+8407+10086100+2740000</f>
        <v>63468804</v>
      </c>
    </row>
    <row r="345" spans="1:9">
      <c r="A345" s="754"/>
      <c r="B345" s="754">
        <v>7</v>
      </c>
      <c r="C345" s="757" t="s">
        <v>852</v>
      </c>
      <c r="D345" s="755"/>
      <c r="E345" s="756">
        <f>4000+148060+153588</f>
        <v>305648</v>
      </c>
    </row>
    <row r="346" spans="1:9">
      <c r="A346" s="754"/>
      <c r="B346" s="754">
        <v>8</v>
      </c>
      <c r="C346" s="755" t="s">
        <v>853</v>
      </c>
      <c r="D346" s="755"/>
      <c r="E346" s="756">
        <f>SUM(E347:E348)</f>
        <v>179723689</v>
      </c>
    </row>
    <row r="347" spans="1:9">
      <c r="A347" s="754"/>
      <c r="B347" s="754"/>
      <c r="C347" s="755" t="s">
        <v>854</v>
      </c>
      <c r="D347" s="755"/>
      <c r="E347" s="756">
        <v>44875689</v>
      </c>
    </row>
    <row r="348" spans="1:9">
      <c r="A348" s="754"/>
      <c r="B348" s="754"/>
      <c r="C348" s="755" t="s">
        <v>855</v>
      </c>
      <c r="D348" s="755"/>
      <c r="E348" s="756">
        <v>134848000</v>
      </c>
    </row>
    <row r="349" spans="1:9">
      <c r="A349" s="754"/>
      <c r="B349" s="754">
        <v>9</v>
      </c>
      <c r="C349" s="755" t="s">
        <v>856</v>
      </c>
      <c r="D349" s="755"/>
      <c r="E349" s="756">
        <f>SUM(E350:E352)</f>
        <v>236717913</v>
      </c>
    </row>
    <row r="350" spans="1:9">
      <c r="A350" s="754"/>
      <c r="B350" s="754"/>
      <c r="C350" s="755" t="s">
        <v>857</v>
      </c>
      <c r="D350" s="755"/>
      <c r="E350" s="756">
        <v>41621077</v>
      </c>
    </row>
    <row r="351" spans="1:9">
      <c r="A351" s="754"/>
      <c r="B351" s="754"/>
      <c r="C351" s="755" t="s">
        <v>858</v>
      </c>
      <c r="D351" s="755"/>
      <c r="E351" s="756">
        <v>119303773</v>
      </c>
    </row>
    <row r="352" spans="1:9">
      <c r="A352" s="754"/>
      <c r="B352" s="754"/>
      <c r="C352" s="755" t="s">
        <v>909</v>
      </c>
      <c r="D352" s="755"/>
      <c r="E352" s="756">
        <v>75793063</v>
      </c>
    </row>
    <row r="353" spans="1:5">
      <c r="A353" s="754"/>
      <c r="B353" s="754">
        <v>10</v>
      </c>
      <c r="C353" s="755" t="s">
        <v>859</v>
      </c>
      <c r="D353" s="755"/>
      <c r="E353" s="756">
        <f>4842090+106680+3211+6500000+1369+1964664+500000+3366480+100000+800000+9000+1610+3158+270000+13200+8500+41500+685+40000+80+57585595+10000+50000+200000+1053+651300+14000+4850000+1700+7650+4750+36670+308+250000+157498+650000+1500+3684</f>
        <v>83047935</v>
      </c>
    </row>
    <row r="354" spans="1:5">
      <c r="A354" s="1132" t="s">
        <v>846</v>
      </c>
      <c r="B354" s="1133"/>
      <c r="C354" s="1133"/>
      <c r="D354" s="1134"/>
      <c r="E354" s="753">
        <f>SUM(E355:E363)</f>
        <v>481864036</v>
      </c>
    </row>
    <row r="355" spans="1:5">
      <c r="A355" s="758"/>
      <c r="B355" s="758">
        <v>1</v>
      </c>
      <c r="C355" s="759" t="s">
        <v>860</v>
      </c>
      <c r="D355" s="760"/>
      <c r="E355" s="756">
        <f>2487026+100000+3613974+3487000+210000+70000+13419073+5000</f>
        <v>23392073</v>
      </c>
    </row>
    <row r="356" spans="1:5">
      <c r="A356" s="754"/>
      <c r="B356" s="754">
        <v>2</v>
      </c>
      <c r="C356" s="755" t="s">
        <v>848</v>
      </c>
      <c r="D356" s="755"/>
      <c r="E356" s="756">
        <f>10171242+1820313+2990870</f>
        <v>14982425</v>
      </c>
    </row>
    <row r="357" spans="1:5">
      <c r="A357" s="754"/>
      <c r="B357" s="754">
        <v>3</v>
      </c>
      <c r="C357" s="755" t="s">
        <v>849</v>
      </c>
      <c r="D357" s="755"/>
      <c r="E357" s="756">
        <v>7281250</v>
      </c>
    </row>
    <row r="358" spans="1:5">
      <c r="A358" s="754"/>
      <c r="B358" s="754">
        <v>4</v>
      </c>
      <c r="C358" s="755" t="s">
        <v>861</v>
      </c>
      <c r="D358" s="755"/>
      <c r="E358" s="756">
        <v>50000</v>
      </c>
    </row>
    <row r="359" spans="1:5">
      <c r="A359" s="754"/>
      <c r="B359" s="754">
        <v>5</v>
      </c>
      <c r="C359" s="755" t="s">
        <v>908</v>
      </c>
      <c r="D359" s="755"/>
      <c r="E359" s="756">
        <f>10554000+8396500+11319084+51946359+69700+213429378+5450483+18566183+3106401</f>
        <v>322838088</v>
      </c>
    </row>
    <row r="360" spans="1:5">
      <c r="A360" s="754"/>
      <c r="B360" s="754">
        <v>6</v>
      </c>
      <c r="C360" s="755" t="s">
        <v>862</v>
      </c>
      <c r="D360" s="755"/>
      <c r="E360" s="756">
        <f>21915406+14688010</f>
        <v>36603416</v>
      </c>
    </row>
    <row r="361" spans="1:5" ht="25.5">
      <c r="A361" s="754"/>
      <c r="B361" s="754">
        <v>7</v>
      </c>
      <c r="C361" s="757" t="s">
        <v>851</v>
      </c>
      <c r="D361" s="755"/>
      <c r="E361" s="756">
        <f>6559648+12300+26215850+961850+22959000+186180+7010056+28900+13000</f>
        <v>63946784</v>
      </c>
    </row>
    <row r="362" spans="1:5">
      <c r="A362" s="754"/>
      <c r="B362" s="754">
        <v>8</v>
      </c>
      <c r="C362" s="755" t="s">
        <v>863</v>
      </c>
      <c r="D362" s="755"/>
      <c r="E362" s="756">
        <v>0</v>
      </c>
    </row>
    <row r="363" spans="1:5">
      <c r="A363" s="754"/>
      <c r="B363" s="754">
        <v>9</v>
      </c>
      <c r="C363" s="755" t="s">
        <v>864</v>
      </c>
      <c r="D363" s="755"/>
      <c r="E363" s="756">
        <v>12770000</v>
      </c>
    </row>
    <row r="364" spans="1:5">
      <c r="A364" s="1117" t="s">
        <v>865</v>
      </c>
      <c r="B364" s="1118"/>
      <c r="C364" s="1118"/>
      <c r="D364" s="1119"/>
      <c r="E364" s="761">
        <f>SUM(E338,E354)</f>
        <v>1152637014</v>
      </c>
    </row>
    <row r="365" spans="1:5">
      <c r="A365" s="481"/>
      <c r="B365" s="481"/>
      <c r="C365" s="485"/>
    </row>
    <row r="366" spans="1:5">
      <c r="A366" s="481"/>
      <c r="B366" s="481"/>
      <c r="C366" s="485"/>
    </row>
    <row r="367" spans="1:5">
      <c r="A367" s="481"/>
      <c r="B367" s="481"/>
      <c r="C367" s="485"/>
    </row>
    <row r="368" spans="1:5">
      <c r="A368" s="481"/>
      <c r="B368" s="481"/>
      <c r="C368" s="485"/>
    </row>
    <row r="369" spans="1:3">
      <c r="A369" s="481"/>
      <c r="B369" s="481"/>
      <c r="C369" s="485"/>
    </row>
    <row r="370" spans="1:3">
      <c r="A370" s="481"/>
      <c r="B370" s="481"/>
      <c r="C370" s="485"/>
    </row>
    <row r="371" spans="1:3">
      <c r="A371" s="481"/>
      <c r="B371" s="481"/>
      <c r="C371" s="485"/>
    </row>
    <row r="372" spans="1:3">
      <c r="A372" s="481"/>
      <c r="B372" s="481"/>
      <c r="C372" s="485"/>
    </row>
    <row r="373" spans="1:3">
      <c r="A373" s="481"/>
      <c r="B373" s="481"/>
      <c r="C373" s="485"/>
    </row>
    <row r="374" spans="1:3">
      <c r="A374" s="481"/>
      <c r="B374" s="481"/>
      <c r="C374" s="485"/>
    </row>
    <row r="375" spans="1:3">
      <c r="A375" s="481"/>
      <c r="B375" s="481"/>
      <c r="C375" s="485"/>
    </row>
    <row r="376" spans="1:3">
      <c r="A376" s="481"/>
      <c r="B376" s="481"/>
      <c r="C376" s="485"/>
    </row>
    <row r="377" spans="1:3">
      <c r="A377" s="481"/>
      <c r="B377" s="481"/>
      <c r="C377" s="485"/>
    </row>
    <row r="378" spans="1:3">
      <c r="A378" s="481"/>
      <c r="B378" s="481"/>
      <c r="C378" s="485"/>
    </row>
    <row r="379" spans="1:3">
      <c r="A379" s="481"/>
      <c r="B379" s="481"/>
      <c r="C379" s="485"/>
    </row>
    <row r="380" spans="1:3">
      <c r="A380" s="481"/>
      <c r="B380" s="481"/>
      <c r="C380" s="485"/>
    </row>
    <row r="381" spans="1:3">
      <c r="A381" s="481"/>
      <c r="B381" s="481"/>
      <c r="C381" s="485"/>
    </row>
    <row r="382" spans="1:3">
      <c r="A382" s="481"/>
      <c r="B382" s="481"/>
      <c r="C382" s="485"/>
    </row>
    <row r="383" spans="1:3">
      <c r="A383" s="481"/>
      <c r="B383" s="481"/>
      <c r="C383" s="485"/>
    </row>
    <row r="384" spans="1:3">
      <c r="A384" s="481"/>
      <c r="B384" s="481"/>
      <c r="C384" s="485"/>
    </row>
    <row r="385" spans="1:3">
      <c r="A385" s="481"/>
      <c r="B385" s="481"/>
      <c r="C385" s="485"/>
    </row>
    <row r="386" spans="1:3">
      <c r="A386" s="481"/>
      <c r="B386" s="481"/>
      <c r="C386" s="485"/>
    </row>
    <row r="387" spans="1:3">
      <c r="A387" s="481"/>
      <c r="B387" s="481"/>
      <c r="C387" s="485"/>
    </row>
    <row r="388" spans="1:3">
      <c r="A388" s="481"/>
      <c r="B388" s="481"/>
      <c r="C388" s="485"/>
    </row>
    <row r="389" spans="1:3">
      <c r="A389" s="481"/>
      <c r="B389" s="481"/>
      <c r="C389" s="485"/>
    </row>
    <row r="390" spans="1:3">
      <c r="A390" s="481"/>
      <c r="B390" s="481"/>
      <c r="C390" s="485"/>
    </row>
    <row r="391" spans="1:3">
      <c r="A391" s="481"/>
      <c r="B391" s="481"/>
      <c r="C391" s="485"/>
    </row>
    <row r="392" spans="1:3">
      <c r="A392" s="481"/>
      <c r="B392" s="481"/>
      <c r="C392" s="485"/>
    </row>
    <row r="393" spans="1:3">
      <c r="A393" s="481"/>
      <c r="B393" s="481"/>
      <c r="C393" s="485"/>
    </row>
    <row r="394" spans="1:3">
      <c r="A394" s="481"/>
      <c r="B394" s="481"/>
      <c r="C394" s="485"/>
    </row>
    <row r="395" spans="1:3">
      <c r="A395" s="481"/>
      <c r="B395" s="481"/>
      <c r="C395" s="485"/>
    </row>
    <row r="396" spans="1:3">
      <c r="A396" s="481"/>
      <c r="B396" s="481"/>
      <c r="C396" s="485"/>
    </row>
    <row r="397" spans="1:3">
      <c r="A397" s="481"/>
      <c r="B397" s="481"/>
      <c r="C397" s="485"/>
    </row>
    <row r="398" spans="1:3">
      <c r="A398" s="481"/>
      <c r="B398" s="481"/>
      <c r="C398" s="485"/>
    </row>
    <row r="399" spans="1:3">
      <c r="A399" s="481"/>
      <c r="B399" s="481"/>
      <c r="C399" s="485"/>
    </row>
    <row r="400" spans="1:3">
      <c r="A400" s="481"/>
      <c r="B400" s="481"/>
      <c r="C400" s="485"/>
    </row>
    <row r="401" spans="1:3">
      <c r="A401" s="481"/>
      <c r="B401" s="481"/>
      <c r="C401" s="485"/>
    </row>
    <row r="402" spans="1:3">
      <c r="A402" s="481"/>
      <c r="B402" s="481"/>
      <c r="C402" s="485"/>
    </row>
    <row r="403" spans="1:3">
      <c r="A403" s="481"/>
      <c r="B403" s="481"/>
      <c r="C403" s="485"/>
    </row>
    <row r="404" spans="1:3">
      <c r="A404" s="481"/>
      <c r="B404" s="481"/>
      <c r="C404" s="485"/>
    </row>
    <row r="405" spans="1:3">
      <c r="A405" s="481"/>
      <c r="B405" s="481"/>
      <c r="C405" s="485"/>
    </row>
    <row r="406" spans="1:3">
      <c r="A406" s="481"/>
      <c r="B406" s="481"/>
      <c r="C406" s="485"/>
    </row>
    <row r="407" spans="1:3">
      <c r="A407" s="481"/>
      <c r="B407" s="481"/>
      <c r="C407" s="485"/>
    </row>
    <row r="408" spans="1:3">
      <c r="A408" s="481"/>
      <c r="B408" s="481"/>
      <c r="C408" s="485"/>
    </row>
    <row r="409" spans="1:3">
      <c r="A409" s="481"/>
      <c r="B409" s="481"/>
      <c r="C409" s="485"/>
    </row>
    <row r="410" spans="1:3">
      <c r="A410" s="481"/>
      <c r="B410" s="481"/>
      <c r="C410" s="485"/>
    </row>
    <row r="411" spans="1:3">
      <c r="A411" s="481"/>
      <c r="B411" s="481"/>
      <c r="C411" s="485"/>
    </row>
    <row r="412" spans="1:3">
      <c r="A412" s="481"/>
      <c r="B412" s="481"/>
      <c r="C412" s="485"/>
    </row>
    <row r="413" spans="1:3">
      <c r="A413" s="481"/>
      <c r="B413" s="481"/>
      <c r="C413" s="485"/>
    </row>
    <row r="414" spans="1:3">
      <c r="A414" s="481"/>
      <c r="B414" s="481"/>
      <c r="C414" s="485"/>
    </row>
    <row r="415" spans="1:3">
      <c r="A415" s="481"/>
      <c r="B415" s="481"/>
      <c r="C415" s="485"/>
    </row>
    <row r="416" spans="1:3">
      <c r="A416" s="481"/>
      <c r="B416" s="481"/>
      <c r="C416" s="485"/>
    </row>
    <row r="417" spans="1:3">
      <c r="A417" s="481"/>
      <c r="B417" s="481"/>
      <c r="C417" s="485"/>
    </row>
    <row r="418" spans="1:3">
      <c r="A418" s="481"/>
      <c r="B418" s="481"/>
      <c r="C418" s="485"/>
    </row>
    <row r="419" spans="1:3">
      <c r="A419" s="481"/>
      <c r="B419" s="481"/>
      <c r="C419" s="485"/>
    </row>
    <row r="420" spans="1:3">
      <c r="A420" s="481"/>
      <c r="B420" s="481"/>
      <c r="C420" s="485"/>
    </row>
    <row r="421" spans="1:3">
      <c r="A421" s="481"/>
      <c r="B421" s="481"/>
      <c r="C421" s="485"/>
    </row>
    <row r="422" spans="1:3">
      <c r="A422" s="481"/>
      <c r="B422" s="481"/>
      <c r="C422" s="485"/>
    </row>
    <row r="423" spans="1:3">
      <c r="A423" s="481"/>
      <c r="B423" s="481"/>
      <c r="C423" s="485"/>
    </row>
    <row r="424" spans="1:3">
      <c r="A424" s="481"/>
      <c r="B424" s="481"/>
      <c r="C424" s="485"/>
    </row>
    <row r="425" spans="1:3">
      <c r="A425" s="481"/>
      <c r="B425" s="481"/>
      <c r="C425" s="485"/>
    </row>
    <row r="426" spans="1:3">
      <c r="A426" s="481"/>
      <c r="B426" s="481"/>
      <c r="C426" s="485"/>
    </row>
    <row r="427" spans="1:3">
      <c r="A427" s="481"/>
      <c r="B427" s="481"/>
      <c r="C427" s="485"/>
    </row>
    <row r="428" spans="1:3">
      <c r="A428" s="481"/>
      <c r="B428" s="481"/>
      <c r="C428" s="485"/>
    </row>
    <row r="429" spans="1:3">
      <c r="A429" s="481"/>
      <c r="B429" s="481"/>
      <c r="C429" s="485"/>
    </row>
    <row r="430" spans="1:3">
      <c r="A430" s="481"/>
      <c r="B430" s="481"/>
      <c r="C430" s="485"/>
    </row>
    <row r="431" spans="1:3">
      <c r="A431" s="481"/>
      <c r="B431" s="481"/>
      <c r="C431" s="485"/>
    </row>
    <row r="432" spans="1:3">
      <c r="A432" s="481"/>
      <c r="B432" s="481"/>
      <c r="C432" s="485"/>
    </row>
    <row r="433" spans="1:3">
      <c r="A433" s="481"/>
      <c r="B433" s="481"/>
      <c r="C433" s="485"/>
    </row>
    <row r="434" spans="1:3">
      <c r="A434" s="481"/>
      <c r="B434" s="481"/>
      <c r="C434" s="485"/>
    </row>
    <row r="435" spans="1:3">
      <c r="A435" s="481"/>
      <c r="B435" s="481"/>
      <c r="C435" s="485"/>
    </row>
    <row r="436" spans="1:3">
      <c r="A436" s="481"/>
      <c r="B436" s="481"/>
      <c r="C436" s="485"/>
    </row>
    <row r="437" spans="1:3">
      <c r="A437" s="481"/>
      <c r="B437" s="481"/>
      <c r="C437" s="485"/>
    </row>
    <row r="438" spans="1:3">
      <c r="A438" s="481"/>
      <c r="B438" s="481"/>
      <c r="C438" s="485"/>
    </row>
    <row r="439" spans="1:3">
      <c r="A439" s="481"/>
      <c r="B439" s="481"/>
      <c r="C439" s="485"/>
    </row>
    <row r="440" spans="1:3">
      <c r="A440" s="481"/>
      <c r="B440" s="481"/>
      <c r="C440" s="485"/>
    </row>
    <row r="441" spans="1:3">
      <c r="A441" s="481"/>
      <c r="B441" s="481"/>
      <c r="C441" s="485"/>
    </row>
    <row r="442" spans="1:3">
      <c r="A442" s="481"/>
      <c r="B442" s="481"/>
      <c r="C442" s="485"/>
    </row>
    <row r="443" spans="1:3">
      <c r="A443" s="481"/>
      <c r="B443" s="481"/>
      <c r="C443" s="485"/>
    </row>
    <row r="444" spans="1:3">
      <c r="A444" s="481"/>
      <c r="B444" s="481"/>
      <c r="C444" s="485"/>
    </row>
    <row r="445" spans="1:3">
      <c r="A445" s="481"/>
      <c r="B445" s="481"/>
      <c r="C445" s="485"/>
    </row>
    <row r="446" spans="1:3">
      <c r="A446" s="481"/>
      <c r="B446" s="481"/>
      <c r="C446" s="485"/>
    </row>
    <row r="447" spans="1:3">
      <c r="A447" s="481"/>
      <c r="B447" s="481"/>
      <c r="C447" s="485"/>
    </row>
    <row r="448" spans="1:3">
      <c r="A448" s="481"/>
      <c r="B448" s="481"/>
      <c r="C448" s="485"/>
    </row>
    <row r="449" spans="1:3">
      <c r="A449" s="481"/>
      <c r="B449" s="481"/>
      <c r="C449" s="485"/>
    </row>
    <row r="450" spans="1:3">
      <c r="A450" s="481"/>
      <c r="B450" s="481"/>
      <c r="C450" s="485"/>
    </row>
    <row r="451" spans="1:3">
      <c r="A451" s="481"/>
      <c r="B451" s="481"/>
      <c r="C451" s="485"/>
    </row>
    <row r="452" spans="1:3">
      <c r="A452" s="481"/>
      <c r="B452" s="481"/>
      <c r="C452" s="485"/>
    </row>
    <row r="453" spans="1:3">
      <c r="A453" s="481"/>
      <c r="B453" s="481"/>
      <c r="C453" s="485"/>
    </row>
    <row r="454" spans="1:3">
      <c r="A454" s="481"/>
      <c r="B454" s="481"/>
      <c r="C454" s="485"/>
    </row>
    <row r="455" spans="1:3">
      <c r="A455" s="481"/>
      <c r="B455" s="481"/>
      <c r="C455" s="485"/>
    </row>
    <row r="456" spans="1:3">
      <c r="A456" s="481"/>
      <c r="B456" s="481"/>
      <c r="C456" s="485"/>
    </row>
    <row r="457" spans="1:3">
      <c r="A457" s="481"/>
      <c r="B457" s="481"/>
      <c r="C457" s="485"/>
    </row>
    <row r="458" spans="1:3">
      <c r="A458" s="481"/>
      <c r="B458" s="481"/>
      <c r="C458" s="485"/>
    </row>
    <row r="459" spans="1:3">
      <c r="A459" s="481"/>
      <c r="B459" s="481"/>
      <c r="C459" s="485"/>
    </row>
    <row r="460" spans="1:3">
      <c r="A460" s="481"/>
      <c r="B460" s="481"/>
      <c r="C460" s="485"/>
    </row>
    <row r="461" spans="1:3">
      <c r="A461" s="481"/>
      <c r="B461" s="481"/>
      <c r="C461" s="485"/>
    </row>
    <row r="462" spans="1:3">
      <c r="A462" s="481"/>
      <c r="B462" s="481"/>
      <c r="C462" s="485"/>
    </row>
    <row r="463" spans="1:3">
      <c r="A463" s="481"/>
      <c r="B463" s="481"/>
      <c r="C463" s="485"/>
    </row>
    <row r="464" spans="1:3">
      <c r="A464" s="481"/>
      <c r="B464" s="481"/>
      <c r="C464" s="485"/>
    </row>
    <row r="465" spans="1:3">
      <c r="A465" s="481"/>
      <c r="B465" s="481"/>
      <c r="C465" s="485"/>
    </row>
    <row r="466" spans="1:3">
      <c r="A466" s="481"/>
      <c r="B466" s="481"/>
      <c r="C466" s="485"/>
    </row>
    <row r="467" spans="1:3">
      <c r="A467" s="481"/>
      <c r="B467" s="481"/>
      <c r="C467" s="485"/>
    </row>
    <row r="468" spans="1:3">
      <c r="A468" s="481"/>
      <c r="B468" s="481"/>
      <c r="C468" s="485"/>
    </row>
    <row r="469" spans="1:3">
      <c r="A469" s="481"/>
      <c r="B469" s="481"/>
      <c r="C469" s="485"/>
    </row>
    <row r="470" spans="1:3">
      <c r="A470" s="481"/>
      <c r="B470" s="481"/>
      <c r="C470" s="485"/>
    </row>
    <row r="471" spans="1:3">
      <c r="A471" s="481"/>
      <c r="B471" s="481"/>
      <c r="C471" s="485"/>
    </row>
    <row r="472" spans="1:3">
      <c r="A472" s="481"/>
      <c r="B472" s="481"/>
      <c r="C472" s="485"/>
    </row>
    <row r="473" spans="1:3">
      <c r="A473" s="481"/>
      <c r="B473" s="481"/>
      <c r="C473" s="485"/>
    </row>
    <row r="474" spans="1:3">
      <c r="A474" s="481"/>
      <c r="B474" s="481"/>
      <c r="C474" s="485"/>
    </row>
    <row r="475" spans="1:3">
      <c r="A475" s="481"/>
      <c r="B475" s="481"/>
      <c r="C475" s="485"/>
    </row>
    <row r="476" spans="1:3">
      <c r="A476" s="481"/>
      <c r="B476" s="481"/>
      <c r="C476" s="485"/>
    </row>
    <row r="477" spans="1:3">
      <c r="A477" s="481"/>
      <c r="B477" s="481"/>
      <c r="C477" s="485"/>
    </row>
    <row r="478" spans="1:3">
      <c r="A478" s="481"/>
      <c r="B478" s="481"/>
      <c r="C478" s="485"/>
    </row>
    <row r="479" spans="1:3">
      <c r="A479" s="481"/>
      <c r="B479" s="481"/>
      <c r="C479" s="485"/>
    </row>
    <row r="480" spans="1:3">
      <c r="A480" s="481"/>
      <c r="B480" s="481"/>
      <c r="C480" s="485"/>
    </row>
    <row r="481" spans="1:3">
      <c r="A481" s="481"/>
      <c r="B481" s="481"/>
      <c r="C481" s="485"/>
    </row>
    <row r="482" spans="1:3">
      <c r="A482" s="481"/>
      <c r="B482" s="481"/>
      <c r="C482" s="485"/>
    </row>
    <row r="483" spans="1:3">
      <c r="A483" s="481"/>
      <c r="B483" s="481"/>
      <c r="C483" s="485"/>
    </row>
    <row r="484" spans="1:3">
      <c r="A484" s="481"/>
      <c r="B484" s="481"/>
      <c r="C484" s="485"/>
    </row>
    <row r="485" spans="1:3">
      <c r="A485" s="481"/>
      <c r="B485" s="481"/>
      <c r="C485" s="485"/>
    </row>
    <row r="486" spans="1:3">
      <c r="A486" s="481"/>
      <c r="B486" s="481"/>
      <c r="C486" s="485"/>
    </row>
    <row r="487" spans="1:3">
      <c r="A487" s="481"/>
      <c r="B487" s="481"/>
      <c r="C487" s="485"/>
    </row>
    <row r="488" spans="1:3">
      <c r="A488" s="481"/>
      <c r="B488" s="481"/>
      <c r="C488" s="485"/>
    </row>
    <row r="489" spans="1:3">
      <c r="A489" s="481"/>
      <c r="B489" s="481"/>
      <c r="C489" s="485"/>
    </row>
    <row r="490" spans="1:3">
      <c r="A490" s="481"/>
      <c r="B490" s="481"/>
      <c r="C490" s="485"/>
    </row>
    <row r="491" spans="1:3">
      <c r="A491" s="481"/>
      <c r="B491" s="481"/>
      <c r="C491" s="485"/>
    </row>
    <row r="492" spans="1:3">
      <c r="A492" s="481"/>
      <c r="B492" s="481"/>
      <c r="C492" s="485"/>
    </row>
    <row r="493" spans="1:3">
      <c r="A493" s="481"/>
      <c r="B493" s="481"/>
      <c r="C493" s="485"/>
    </row>
    <row r="494" spans="1:3">
      <c r="A494" s="481"/>
      <c r="B494" s="481"/>
      <c r="C494" s="485"/>
    </row>
    <row r="495" spans="1:3">
      <c r="A495" s="481"/>
      <c r="B495" s="481"/>
      <c r="C495" s="485"/>
    </row>
    <row r="496" spans="1:3">
      <c r="A496" s="481"/>
      <c r="B496" s="481"/>
      <c r="C496" s="485"/>
    </row>
    <row r="497" spans="1:3">
      <c r="A497" s="481"/>
      <c r="B497" s="481"/>
      <c r="C497" s="485"/>
    </row>
    <row r="498" spans="1:3">
      <c r="A498" s="481"/>
      <c r="B498" s="481"/>
      <c r="C498" s="485"/>
    </row>
    <row r="499" spans="1:3">
      <c r="A499" s="481"/>
      <c r="B499" s="481"/>
      <c r="C499" s="485"/>
    </row>
    <row r="500" spans="1:3">
      <c r="A500" s="481"/>
      <c r="B500" s="481"/>
      <c r="C500" s="485"/>
    </row>
    <row r="501" spans="1:3">
      <c r="A501" s="481"/>
      <c r="B501" s="481"/>
      <c r="C501" s="485"/>
    </row>
    <row r="502" spans="1:3">
      <c r="A502" s="481"/>
      <c r="B502" s="481"/>
      <c r="C502" s="485"/>
    </row>
    <row r="503" spans="1:3">
      <c r="A503" s="481"/>
      <c r="B503" s="481"/>
      <c r="C503" s="485"/>
    </row>
    <row r="504" spans="1:3">
      <c r="A504" s="481"/>
      <c r="B504" s="481"/>
      <c r="C504" s="485"/>
    </row>
    <row r="505" spans="1:3">
      <c r="A505" s="481"/>
      <c r="B505" s="481"/>
      <c r="C505" s="485"/>
    </row>
    <row r="506" spans="1:3">
      <c r="A506" s="481"/>
      <c r="B506" s="481"/>
      <c r="C506" s="485"/>
    </row>
    <row r="507" spans="1:3">
      <c r="A507" s="481"/>
      <c r="B507" s="481"/>
      <c r="C507" s="485"/>
    </row>
    <row r="508" spans="1:3">
      <c r="A508" s="481"/>
      <c r="B508" s="481"/>
      <c r="C508" s="485"/>
    </row>
    <row r="509" spans="1:3">
      <c r="A509" s="481"/>
      <c r="B509" s="481"/>
      <c r="C509" s="485"/>
    </row>
    <row r="510" spans="1:3">
      <c r="A510" s="481"/>
      <c r="B510" s="481"/>
      <c r="C510" s="485"/>
    </row>
    <row r="511" spans="1:3">
      <c r="A511" s="481"/>
      <c r="B511" s="481"/>
      <c r="C511" s="485"/>
    </row>
    <row r="512" spans="1:3">
      <c r="A512" s="481"/>
      <c r="B512" s="481"/>
      <c r="C512" s="485"/>
    </row>
    <row r="513" spans="1:3">
      <c r="A513" s="481"/>
      <c r="B513" s="481"/>
      <c r="C513" s="485"/>
    </row>
    <row r="514" spans="1:3">
      <c r="A514" s="481"/>
      <c r="B514" s="481"/>
      <c r="C514" s="485"/>
    </row>
    <row r="515" spans="1:3">
      <c r="A515" s="481"/>
      <c r="B515" s="481"/>
      <c r="C515" s="485"/>
    </row>
    <row r="516" spans="1:3">
      <c r="A516" s="481"/>
      <c r="B516" s="481"/>
      <c r="C516" s="485"/>
    </row>
    <row r="517" spans="1:3">
      <c r="A517" s="481"/>
      <c r="B517" s="481"/>
      <c r="C517" s="485"/>
    </row>
    <row r="518" spans="1:3">
      <c r="A518" s="481"/>
      <c r="B518" s="481"/>
      <c r="C518" s="485"/>
    </row>
    <row r="519" spans="1:3">
      <c r="A519" s="481"/>
      <c r="B519" s="481"/>
      <c r="C519" s="485"/>
    </row>
    <row r="520" spans="1:3">
      <c r="A520" s="481"/>
      <c r="B520" s="481"/>
      <c r="C520" s="485"/>
    </row>
    <row r="521" spans="1:3">
      <c r="A521" s="481"/>
      <c r="B521" s="481"/>
      <c r="C521" s="485"/>
    </row>
    <row r="522" spans="1:3">
      <c r="A522" s="481"/>
      <c r="B522" s="481"/>
      <c r="C522" s="485"/>
    </row>
    <row r="523" spans="1:3">
      <c r="A523" s="481"/>
      <c r="B523" s="481"/>
      <c r="C523" s="485"/>
    </row>
    <row r="524" spans="1:3">
      <c r="A524" s="481"/>
      <c r="B524" s="481"/>
      <c r="C524" s="485"/>
    </row>
    <row r="525" spans="1:3">
      <c r="A525" s="481"/>
      <c r="B525" s="481"/>
      <c r="C525" s="485"/>
    </row>
    <row r="526" spans="1:3">
      <c r="A526" s="481"/>
      <c r="B526" s="481"/>
      <c r="C526" s="485"/>
    </row>
    <row r="527" spans="1:3">
      <c r="A527" s="481"/>
      <c r="B527" s="481"/>
      <c r="C527" s="485"/>
    </row>
    <row r="528" spans="1:3">
      <c r="A528" s="481"/>
      <c r="B528" s="481"/>
      <c r="C528" s="485"/>
    </row>
    <row r="529" spans="1:3">
      <c r="A529" s="481"/>
      <c r="B529" s="481"/>
      <c r="C529" s="485"/>
    </row>
    <row r="530" spans="1:3">
      <c r="A530" s="481"/>
      <c r="B530" s="481"/>
      <c r="C530" s="485"/>
    </row>
    <row r="531" spans="1:3">
      <c r="A531" s="481"/>
      <c r="B531" s="481"/>
      <c r="C531" s="485"/>
    </row>
    <row r="532" spans="1:3">
      <c r="A532" s="481"/>
      <c r="B532" s="481"/>
      <c r="C532" s="485"/>
    </row>
    <row r="533" spans="1:3">
      <c r="A533" s="481"/>
      <c r="B533" s="481"/>
      <c r="C533" s="485"/>
    </row>
    <row r="534" spans="1:3">
      <c r="A534" s="481"/>
      <c r="B534" s="481"/>
      <c r="C534" s="485"/>
    </row>
    <row r="535" spans="1:3">
      <c r="A535" s="481"/>
      <c r="B535" s="481"/>
      <c r="C535" s="485"/>
    </row>
    <row r="536" spans="1:3">
      <c r="A536" s="481"/>
      <c r="B536" s="481"/>
      <c r="C536" s="485"/>
    </row>
    <row r="537" spans="1:3">
      <c r="A537" s="481"/>
      <c r="B537" s="481"/>
      <c r="C537" s="485"/>
    </row>
    <row r="538" spans="1:3">
      <c r="A538" s="481"/>
      <c r="B538" s="481"/>
      <c r="C538" s="485"/>
    </row>
    <row r="539" spans="1:3">
      <c r="A539" s="481"/>
      <c r="B539" s="481"/>
      <c r="C539" s="485"/>
    </row>
    <row r="540" spans="1:3">
      <c r="A540" s="481"/>
      <c r="B540" s="481"/>
      <c r="C540" s="485"/>
    </row>
    <row r="541" spans="1:3">
      <c r="A541" s="481"/>
      <c r="B541" s="481"/>
      <c r="C541" s="485"/>
    </row>
    <row r="542" spans="1:3">
      <c r="A542" s="481"/>
      <c r="B542" s="481"/>
      <c r="C542" s="485"/>
    </row>
    <row r="543" spans="1:3">
      <c r="A543" s="481"/>
      <c r="B543" s="481"/>
      <c r="C543" s="485"/>
    </row>
    <row r="544" spans="1:3">
      <c r="A544" s="481"/>
      <c r="B544" s="481"/>
      <c r="C544" s="485"/>
    </row>
    <row r="545" spans="1:3">
      <c r="A545" s="481"/>
      <c r="B545" s="481"/>
      <c r="C545" s="485"/>
    </row>
    <row r="546" spans="1:3">
      <c r="A546" s="481"/>
      <c r="B546" s="481"/>
      <c r="C546" s="485"/>
    </row>
    <row r="547" spans="1:3">
      <c r="A547" s="481"/>
      <c r="B547" s="481"/>
      <c r="C547" s="485"/>
    </row>
    <row r="548" spans="1:3">
      <c r="A548" s="481"/>
      <c r="B548" s="481"/>
      <c r="C548" s="485"/>
    </row>
    <row r="549" spans="1:3">
      <c r="A549" s="481"/>
      <c r="B549" s="481"/>
      <c r="C549" s="485"/>
    </row>
    <row r="550" spans="1:3">
      <c r="A550" s="481"/>
      <c r="B550" s="481"/>
      <c r="C550" s="485"/>
    </row>
    <row r="551" spans="1:3">
      <c r="A551" s="481"/>
      <c r="B551" s="481"/>
      <c r="C551" s="485"/>
    </row>
    <row r="552" spans="1:3">
      <c r="A552" s="481"/>
      <c r="B552" s="481"/>
      <c r="C552" s="485"/>
    </row>
    <row r="553" spans="1:3">
      <c r="A553" s="481"/>
      <c r="B553" s="481"/>
      <c r="C553" s="485"/>
    </row>
    <row r="554" spans="1:3">
      <c r="A554" s="481"/>
      <c r="B554" s="481"/>
      <c r="C554" s="485"/>
    </row>
    <row r="555" spans="1:3">
      <c r="A555" s="481"/>
      <c r="B555" s="481"/>
      <c r="C555" s="485"/>
    </row>
    <row r="556" spans="1:3">
      <c r="A556" s="481"/>
      <c r="B556" s="481"/>
      <c r="C556" s="485"/>
    </row>
    <row r="557" spans="1:3">
      <c r="A557" s="481"/>
      <c r="B557" s="481"/>
      <c r="C557" s="485"/>
    </row>
    <row r="558" spans="1:3">
      <c r="A558" s="481"/>
      <c r="B558" s="481"/>
      <c r="C558" s="485"/>
    </row>
    <row r="559" spans="1:3">
      <c r="A559" s="481"/>
      <c r="B559" s="481"/>
      <c r="C559" s="485"/>
    </row>
    <row r="560" spans="1:3">
      <c r="A560" s="481"/>
      <c r="B560" s="481"/>
      <c r="C560" s="485"/>
    </row>
    <row r="561" spans="1:3">
      <c r="A561" s="481"/>
      <c r="B561" s="481"/>
      <c r="C561" s="485"/>
    </row>
    <row r="562" spans="1:3">
      <c r="A562" s="481"/>
      <c r="B562" s="481"/>
      <c r="C562" s="485"/>
    </row>
    <row r="563" spans="1:3">
      <c r="A563" s="481"/>
      <c r="B563" s="481"/>
      <c r="C563" s="485"/>
    </row>
    <row r="564" spans="1:3">
      <c r="A564" s="481"/>
      <c r="B564" s="481"/>
      <c r="C564" s="485"/>
    </row>
    <row r="565" spans="1:3">
      <c r="A565" s="481"/>
      <c r="B565" s="481"/>
      <c r="C565" s="485"/>
    </row>
    <row r="566" spans="1:3">
      <c r="A566" s="481"/>
      <c r="B566" s="481"/>
      <c r="C566" s="485"/>
    </row>
    <row r="567" spans="1:3">
      <c r="A567" s="481"/>
      <c r="B567" s="481"/>
      <c r="C567" s="485"/>
    </row>
    <row r="568" spans="1:3">
      <c r="A568" s="481"/>
      <c r="B568" s="481"/>
      <c r="C568" s="485"/>
    </row>
    <row r="569" spans="1:3">
      <c r="A569" s="481"/>
      <c r="B569" s="481"/>
      <c r="C569" s="485"/>
    </row>
    <row r="570" spans="1:3">
      <c r="A570" s="481"/>
      <c r="B570" s="481"/>
      <c r="C570" s="485"/>
    </row>
    <row r="571" spans="1:3">
      <c r="A571" s="481"/>
      <c r="B571" s="481"/>
      <c r="C571" s="485"/>
    </row>
    <row r="572" spans="1:3">
      <c r="A572" s="481"/>
      <c r="B572" s="481"/>
      <c r="C572" s="485"/>
    </row>
    <row r="573" spans="1:3">
      <c r="A573" s="481"/>
      <c r="B573" s="481"/>
      <c r="C573" s="485"/>
    </row>
    <row r="574" spans="1:3">
      <c r="A574" s="481"/>
      <c r="B574" s="481"/>
      <c r="C574" s="485"/>
    </row>
    <row r="575" spans="1:3">
      <c r="A575" s="481"/>
      <c r="B575" s="481"/>
      <c r="C575" s="485"/>
    </row>
    <row r="576" spans="1:3">
      <c r="A576" s="481"/>
      <c r="B576" s="481"/>
      <c r="C576" s="485"/>
    </row>
    <row r="577" spans="1:3">
      <c r="A577" s="481"/>
      <c r="B577" s="481"/>
      <c r="C577" s="485"/>
    </row>
    <row r="578" spans="1:3">
      <c r="A578" s="481"/>
      <c r="B578" s="481"/>
      <c r="C578" s="485"/>
    </row>
    <row r="579" spans="1:3">
      <c r="A579" s="481"/>
      <c r="B579" s="481"/>
      <c r="C579" s="485"/>
    </row>
    <row r="580" spans="1:3">
      <c r="A580" s="481"/>
      <c r="B580" s="481"/>
      <c r="C580" s="485"/>
    </row>
    <row r="581" spans="1:3">
      <c r="A581" s="481"/>
      <c r="B581" s="481"/>
      <c r="C581" s="485"/>
    </row>
    <row r="582" spans="1:3">
      <c r="A582" s="481"/>
      <c r="B582" s="481"/>
      <c r="C582" s="485"/>
    </row>
    <row r="583" spans="1:3">
      <c r="A583" s="481"/>
      <c r="B583" s="481"/>
      <c r="C583" s="485"/>
    </row>
    <row r="584" spans="1:3">
      <c r="A584" s="481"/>
      <c r="B584" s="481"/>
      <c r="C584" s="485"/>
    </row>
    <row r="585" spans="1:3">
      <c r="A585" s="481"/>
      <c r="B585" s="481"/>
      <c r="C585" s="485"/>
    </row>
    <row r="586" spans="1:3">
      <c r="A586" s="481"/>
      <c r="B586" s="481"/>
      <c r="C586" s="485"/>
    </row>
    <row r="587" spans="1:3">
      <c r="A587" s="481"/>
      <c r="B587" s="481"/>
      <c r="C587" s="485"/>
    </row>
    <row r="588" spans="1:3">
      <c r="A588" s="481"/>
      <c r="B588" s="481"/>
      <c r="C588" s="485"/>
    </row>
    <row r="589" spans="1:3">
      <c r="A589" s="481"/>
      <c r="B589" s="481"/>
      <c r="C589" s="485"/>
    </row>
    <row r="590" spans="1:3">
      <c r="A590" s="481"/>
      <c r="B590" s="481"/>
      <c r="C590" s="485"/>
    </row>
    <row r="591" spans="1:3">
      <c r="A591" s="481"/>
      <c r="B591" s="481"/>
      <c r="C591" s="485"/>
    </row>
    <row r="592" spans="1:3">
      <c r="A592" s="481"/>
      <c r="B592" s="481"/>
      <c r="C592" s="485"/>
    </row>
    <row r="593" spans="1:3">
      <c r="A593" s="481"/>
      <c r="B593" s="481"/>
      <c r="C593" s="485"/>
    </row>
    <row r="594" spans="1:3">
      <c r="A594" s="481"/>
      <c r="B594" s="481"/>
      <c r="C594" s="485"/>
    </row>
    <row r="595" spans="1:3">
      <c r="A595" s="481"/>
      <c r="B595" s="481"/>
      <c r="C595" s="485"/>
    </row>
    <row r="596" spans="1:3">
      <c r="A596" s="481"/>
      <c r="B596" s="481"/>
      <c r="C596" s="485"/>
    </row>
    <row r="597" spans="1:3">
      <c r="A597" s="481"/>
      <c r="B597" s="481"/>
      <c r="C597" s="485"/>
    </row>
    <row r="598" spans="1:3">
      <c r="A598" s="481"/>
      <c r="B598" s="481"/>
      <c r="C598" s="485"/>
    </row>
    <row r="599" spans="1:3">
      <c r="A599" s="481"/>
      <c r="B599" s="481"/>
      <c r="C599" s="485"/>
    </row>
    <row r="600" spans="1:3">
      <c r="A600" s="481"/>
      <c r="B600" s="481"/>
      <c r="C600" s="485"/>
    </row>
    <row r="601" spans="1:3">
      <c r="A601" s="481"/>
      <c r="B601" s="481"/>
      <c r="C601" s="485"/>
    </row>
    <row r="602" spans="1:3">
      <c r="A602" s="481"/>
      <c r="B602" s="481"/>
      <c r="C602" s="485"/>
    </row>
    <row r="603" spans="1:3">
      <c r="A603" s="481"/>
      <c r="B603" s="481"/>
      <c r="C603" s="485"/>
    </row>
    <row r="604" spans="1:3">
      <c r="A604" s="481"/>
      <c r="B604" s="481"/>
      <c r="C604" s="485"/>
    </row>
    <row r="605" spans="1:3">
      <c r="A605" s="481"/>
      <c r="B605" s="481"/>
      <c r="C605" s="485"/>
    </row>
    <row r="606" spans="1:3">
      <c r="A606" s="481"/>
      <c r="B606" s="481"/>
      <c r="C606" s="485"/>
    </row>
    <row r="607" spans="1:3">
      <c r="A607" s="481"/>
      <c r="B607" s="481"/>
      <c r="C607" s="485"/>
    </row>
    <row r="608" spans="1:3">
      <c r="A608" s="481"/>
      <c r="B608" s="481"/>
      <c r="C608" s="485"/>
    </row>
    <row r="609" spans="1:3">
      <c r="A609" s="481"/>
      <c r="B609" s="481"/>
      <c r="C609" s="485"/>
    </row>
    <row r="610" spans="1:3">
      <c r="A610" s="481"/>
      <c r="B610" s="481"/>
      <c r="C610" s="485"/>
    </row>
    <row r="611" spans="1:3">
      <c r="A611" s="481"/>
      <c r="B611" s="481"/>
      <c r="C611" s="485"/>
    </row>
    <row r="612" spans="1:3">
      <c r="A612" s="481"/>
      <c r="B612" s="481"/>
      <c r="C612" s="485"/>
    </row>
    <row r="613" spans="1:3">
      <c r="A613" s="481"/>
      <c r="B613" s="481"/>
      <c r="C613" s="485"/>
    </row>
    <row r="614" spans="1:3">
      <c r="A614" s="481"/>
      <c r="B614" s="481"/>
      <c r="C614" s="485"/>
    </row>
    <row r="615" spans="1:3">
      <c r="A615" s="481"/>
      <c r="B615" s="481"/>
      <c r="C615" s="485"/>
    </row>
    <row r="616" spans="1:3">
      <c r="A616" s="481"/>
      <c r="B616" s="481"/>
      <c r="C616" s="485"/>
    </row>
    <row r="617" spans="1:3">
      <c r="A617" s="481"/>
      <c r="B617" s="481"/>
      <c r="C617" s="485"/>
    </row>
    <row r="618" spans="1:3">
      <c r="A618" s="481"/>
      <c r="B618" s="481"/>
      <c r="C618" s="485"/>
    </row>
    <row r="619" spans="1:3">
      <c r="A619" s="481"/>
      <c r="B619" s="481"/>
      <c r="C619" s="485"/>
    </row>
    <row r="620" spans="1:3">
      <c r="A620" s="481"/>
      <c r="B620" s="481"/>
      <c r="C620" s="485"/>
    </row>
    <row r="621" spans="1:3">
      <c r="A621" s="481"/>
      <c r="B621" s="481"/>
      <c r="C621" s="485"/>
    </row>
    <row r="622" spans="1:3">
      <c r="A622" s="481"/>
      <c r="B622" s="481"/>
      <c r="C622" s="485"/>
    </row>
    <row r="623" spans="1:3">
      <c r="A623" s="481"/>
      <c r="B623" s="481"/>
      <c r="C623" s="485"/>
    </row>
    <row r="624" spans="1:3">
      <c r="A624" s="481"/>
      <c r="B624" s="481"/>
      <c r="C624" s="485"/>
    </row>
    <row r="625" spans="1:3">
      <c r="A625" s="481"/>
      <c r="B625" s="481"/>
      <c r="C625" s="485"/>
    </row>
    <row r="626" spans="1:3">
      <c r="A626" s="481"/>
      <c r="B626" s="481"/>
      <c r="C626" s="485"/>
    </row>
    <row r="627" spans="1:3">
      <c r="A627" s="481"/>
      <c r="B627" s="481"/>
      <c r="C627" s="485"/>
    </row>
    <row r="628" spans="1:3">
      <c r="A628" s="481"/>
      <c r="B628" s="481"/>
      <c r="C628" s="485"/>
    </row>
    <row r="629" spans="1:3">
      <c r="A629" s="481"/>
      <c r="B629" s="481"/>
      <c r="C629" s="485"/>
    </row>
    <row r="630" spans="1:3">
      <c r="A630" s="481"/>
      <c r="B630" s="481"/>
      <c r="C630" s="485"/>
    </row>
    <row r="631" spans="1:3">
      <c r="A631" s="481"/>
      <c r="B631" s="481"/>
      <c r="C631" s="485"/>
    </row>
    <row r="632" spans="1:3">
      <c r="A632" s="481"/>
      <c r="B632" s="481"/>
      <c r="C632" s="485"/>
    </row>
    <row r="633" spans="1:3">
      <c r="A633" s="481"/>
      <c r="B633" s="481"/>
      <c r="C633" s="485"/>
    </row>
    <row r="634" spans="1:3">
      <c r="A634" s="481"/>
      <c r="B634" s="481"/>
      <c r="C634" s="485"/>
    </row>
    <row r="635" spans="1:3">
      <c r="A635" s="481"/>
      <c r="B635" s="481"/>
      <c r="C635" s="485"/>
    </row>
    <row r="636" spans="1:3">
      <c r="A636" s="481"/>
      <c r="B636" s="481"/>
      <c r="C636" s="485"/>
    </row>
    <row r="637" spans="1:3">
      <c r="A637" s="481"/>
      <c r="B637" s="481"/>
      <c r="C637" s="485"/>
    </row>
    <row r="638" spans="1:3">
      <c r="A638" s="481"/>
      <c r="B638" s="481"/>
      <c r="C638" s="485"/>
    </row>
    <row r="639" spans="1:3">
      <c r="A639" s="481"/>
      <c r="B639" s="481"/>
      <c r="C639" s="485"/>
    </row>
    <row r="640" spans="1:3">
      <c r="A640" s="481"/>
      <c r="B640" s="481"/>
      <c r="C640" s="485"/>
    </row>
    <row r="641" spans="1:3">
      <c r="A641" s="481"/>
      <c r="B641" s="481"/>
      <c r="C641" s="485"/>
    </row>
    <row r="642" spans="1:3">
      <c r="A642" s="481"/>
      <c r="B642" s="481"/>
      <c r="C642" s="485"/>
    </row>
    <row r="643" spans="1:3">
      <c r="A643" s="481"/>
      <c r="B643" s="481"/>
      <c r="C643" s="485"/>
    </row>
    <row r="644" spans="1:3">
      <c r="A644" s="481"/>
      <c r="B644" s="481"/>
      <c r="C644" s="485"/>
    </row>
    <row r="645" spans="1:3">
      <c r="A645" s="481"/>
      <c r="B645" s="481"/>
      <c r="C645" s="485"/>
    </row>
    <row r="646" spans="1:3">
      <c r="A646" s="481"/>
      <c r="B646" s="481"/>
      <c r="C646" s="485"/>
    </row>
    <row r="647" spans="1:3">
      <c r="A647" s="481"/>
      <c r="B647" s="481"/>
      <c r="C647" s="485"/>
    </row>
    <row r="648" spans="1:3">
      <c r="A648" s="481"/>
      <c r="B648" s="481"/>
      <c r="C648" s="485"/>
    </row>
    <row r="649" spans="1:3">
      <c r="A649" s="481"/>
      <c r="B649" s="481"/>
      <c r="C649" s="485"/>
    </row>
    <row r="650" spans="1:3">
      <c r="A650" s="481"/>
      <c r="B650" s="481"/>
      <c r="C650" s="485"/>
    </row>
    <row r="651" spans="1:3">
      <c r="A651" s="481"/>
      <c r="B651" s="481"/>
      <c r="C651" s="485"/>
    </row>
    <row r="652" spans="1:3">
      <c r="A652" s="481"/>
      <c r="B652" s="481"/>
      <c r="C652" s="485"/>
    </row>
    <row r="653" spans="1:3">
      <c r="A653" s="481"/>
      <c r="B653" s="481"/>
      <c r="C653" s="485"/>
    </row>
    <row r="654" spans="1:3">
      <c r="A654" s="481"/>
      <c r="B654" s="481"/>
      <c r="C654" s="485"/>
    </row>
    <row r="655" spans="1:3">
      <c r="A655" s="481"/>
      <c r="B655" s="481"/>
      <c r="C655" s="485"/>
    </row>
    <row r="656" spans="1:3">
      <c r="A656" s="481"/>
      <c r="B656" s="481"/>
      <c r="C656" s="485"/>
    </row>
    <row r="657" spans="1:3">
      <c r="A657" s="481"/>
      <c r="B657" s="481"/>
      <c r="C657" s="485"/>
    </row>
    <row r="658" spans="1:3">
      <c r="A658" s="481"/>
      <c r="B658" s="481"/>
      <c r="C658" s="485"/>
    </row>
    <row r="659" spans="1:3">
      <c r="A659" s="481"/>
      <c r="B659" s="481"/>
      <c r="C659" s="485"/>
    </row>
    <row r="660" spans="1:3">
      <c r="A660" s="481"/>
      <c r="B660" s="481"/>
      <c r="C660" s="485"/>
    </row>
    <row r="661" spans="1:3">
      <c r="A661" s="481"/>
      <c r="B661" s="481"/>
      <c r="C661" s="485"/>
    </row>
    <row r="662" spans="1:3">
      <c r="A662" s="481"/>
      <c r="B662" s="481"/>
      <c r="C662" s="485"/>
    </row>
    <row r="663" spans="1:3">
      <c r="A663" s="481"/>
      <c r="B663" s="481"/>
      <c r="C663" s="485"/>
    </row>
    <row r="664" spans="1:3">
      <c r="A664" s="481"/>
      <c r="B664" s="481"/>
      <c r="C664" s="485"/>
    </row>
    <row r="665" spans="1:3">
      <c r="A665" s="481"/>
      <c r="B665" s="481"/>
      <c r="C665" s="485"/>
    </row>
    <row r="666" spans="1:3">
      <c r="A666" s="481"/>
      <c r="B666" s="481"/>
      <c r="C666" s="485"/>
    </row>
    <row r="667" spans="1:3">
      <c r="A667" s="481"/>
      <c r="B667" s="481"/>
      <c r="C667" s="485"/>
    </row>
    <row r="668" spans="1:3">
      <c r="A668" s="481"/>
      <c r="B668" s="481"/>
      <c r="C668" s="485"/>
    </row>
    <row r="669" spans="1:3">
      <c r="A669" s="481"/>
      <c r="B669" s="481"/>
      <c r="C669" s="485"/>
    </row>
    <row r="670" spans="1:3">
      <c r="A670" s="481"/>
      <c r="B670" s="481"/>
      <c r="C670" s="485"/>
    </row>
    <row r="671" spans="1:3">
      <c r="A671" s="481"/>
      <c r="B671" s="481"/>
      <c r="C671" s="485"/>
    </row>
    <row r="672" spans="1:3">
      <c r="A672" s="481"/>
      <c r="B672" s="481"/>
      <c r="C672" s="485"/>
    </row>
    <row r="673" spans="1:3">
      <c r="A673" s="481"/>
      <c r="B673" s="481"/>
      <c r="C673" s="485"/>
    </row>
    <row r="674" spans="1:3">
      <c r="A674" s="481"/>
      <c r="B674" s="481"/>
      <c r="C674" s="485"/>
    </row>
    <row r="675" spans="1:3">
      <c r="A675" s="481"/>
      <c r="B675" s="481"/>
      <c r="C675" s="485"/>
    </row>
    <row r="676" spans="1:3">
      <c r="A676" s="481"/>
      <c r="B676" s="481"/>
      <c r="C676" s="485"/>
    </row>
    <row r="677" spans="1:3">
      <c r="A677" s="481"/>
      <c r="B677" s="481"/>
      <c r="C677" s="485"/>
    </row>
    <row r="678" spans="1:3">
      <c r="A678" s="481"/>
      <c r="B678" s="481"/>
      <c r="C678" s="485"/>
    </row>
    <row r="679" spans="1:3">
      <c r="A679" s="481"/>
      <c r="B679" s="481"/>
      <c r="C679" s="485"/>
    </row>
    <row r="680" spans="1:3">
      <c r="A680" s="481"/>
      <c r="B680" s="481"/>
      <c r="C680" s="485"/>
    </row>
    <row r="681" spans="1:3">
      <c r="A681" s="481"/>
      <c r="B681" s="481"/>
      <c r="C681" s="485"/>
    </row>
    <row r="682" spans="1:3">
      <c r="A682" s="481"/>
      <c r="B682" s="481"/>
      <c r="C682" s="485"/>
    </row>
    <row r="683" spans="1:3">
      <c r="A683" s="481"/>
      <c r="B683" s="481"/>
      <c r="C683" s="485"/>
    </row>
    <row r="684" spans="1:3">
      <c r="A684" s="481"/>
      <c r="B684" s="481"/>
      <c r="C684" s="485"/>
    </row>
    <row r="685" spans="1:3">
      <c r="A685" s="481"/>
      <c r="B685" s="481"/>
      <c r="C685" s="485"/>
    </row>
    <row r="686" spans="1:3">
      <c r="A686" s="481"/>
      <c r="B686" s="481"/>
      <c r="C686" s="485"/>
    </row>
    <row r="687" spans="1:3">
      <c r="A687" s="481"/>
      <c r="B687" s="481"/>
      <c r="C687" s="485"/>
    </row>
    <row r="688" spans="1:3">
      <c r="A688" s="481"/>
      <c r="B688" s="481"/>
      <c r="C688" s="485"/>
    </row>
    <row r="689" spans="1:3">
      <c r="A689" s="481"/>
      <c r="B689" s="481"/>
      <c r="C689" s="485"/>
    </row>
    <row r="690" spans="1:3">
      <c r="A690" s="481"/>
      <c r="B690" s="481"/>
      <c r="C690" s="485"/>
    </row>
    <row r="691" spans="1:3">
      <c r="A691" s="481"/>
      <c r="B691" s="481"/>
      <c r="C691" s="485"/>
    </row>
    <row r="692" spans="1:3">
      <c r="A692" s="481"/>
      <c r="B692" s="481"/>
      <c r="C692" s="485"/>
    </row>
    <row r="693" spans="1:3">
      <c r="A693" s="481"/>
      <c r="B693" s="481"/>
      <c r="C693" s="485"/>
    </row>
    <row r="694" spans="1:3">
      <c r="A694" s="481"/>
      <c r="B694" s="481"/>
      <c r="C694" s="485"/>
    </row>
    <row r="695" spans="1:3">
      <c r="A695" s="481"/>
      <c r="B695" s="481"/>
      <c r="C695" s="485"/>
    </row>
    <row r="696" spans="1:3">
      <c r="A696" s="481"/>
      <c r="B696" s="481"/>
      <c r="C696" s="485"/>
    </row>
    <row r="697" spans="1:3">
      <c r="A697" s="481"/>
      <c r="B697" s="481"/>
      <c r="C697" s="485"/>
    </row>
    <row r="698" spans="1:3">
      <c r="A698" s="481"/>
      <c r="B698" s="481"/>
      <c r="C698" s="485"/>
    </row>
    <row r="699" spans="1:3">
      <c r="A699" s="481"/>
      <c r="B699" s="481"/>
      <c r="C699" s="485"/>
    </row>
    <row r="700" spans="1:3">
      <c r="A700" s="481"/>
      <c r="B700" s="481"/>
      <c r="C700" s="485"/>
    </row>
    <row r="701" spans="1:3">
      <c r="A701" s="481"/>
      <c r="B701" s="481"/>
      <c r="C701" s="485"/>
    </row>
    <row r="702" spans="1:3">
      <c r="A702" s="481"/>
      <c r="B702" s="481"/>
      <c r="C702" s="485"/>
    </row>
    <row r="703" spans="1:3">
      <c r="A703" s="481"/>
      <c r="B703" s="481"/>
      <c r="C703" s="485"/>
    </row>
    <row r="704" spans="1:3">
      <c r="A704" s="481"/>
      <c r="B704" s="481"/>
      <c r="C704" s="485"/>
    </row>
    <row r="705" spans="1:3">
      <c r="A705" s="481"/>
      <c r="B705" s="481"/>
      <c r="C705" s="485"/>
    </row>
    <row r="706" spans="1:3">
      <c r="A706" s="481"/>
      <c r="B706" s="481"/>
      <c r="C706" s="485"/>
    </row>
    <row r="707" spans="1:3">
      <c r="A707" s="481"/>
      <c r="B707" s="481"/>
      <c r="C707" s="485"/>
    </row>
    <row r="708" spans="1:3">
      <c r="A708" s="481"/>
      <c r="B708" s="481"/>
      <c r="C708" s="485"/>
    </row>
    <row r="709" spans="1:3">
      <c r="A709" s="481"/>
      <c r="B709" s="481"/>
      <c r="C709" s="485"/>
    </row>
    <row r="710" spans="1:3">
      <c r="A710" s="481"/>
      <c r="B710" s="481"/>
      <c r="C710" s="485"/>
    </row>
    <row r="711" spans="1:3">
      <c r="A711" s="481"/>
      <c r="B711" s="481"/>
      <c r="C711" s="485"/>
    </row>
    <row r="712" spans="1:3">
      <c r="A712" s="481"/>
      <c r="B712" s="481"/>
      <c r="C712" s="485"/>
    </row>
    <row r="713" spans="1:3">
      <c r="A713" s="481"/>
      <c r="B713" s="481"/>
      <c r="C713" s="485"/>
    </row>
    <row r="714" spans="1:3">
      <c r="A714" s="481"/>
      <c r="B714" s="481"/>
      <c r="C714" s="485"/>
    </row>
    <row r="715" spans="1:3">
      <c r="A715" s="481"/>
      <c r="B715" s="481"/>
      <c r="C715" s="485"/>
    </row>
    <row r="716" spans="1:3">
      <c r="A716" s="481"/>
      <c r="B716" s="481"/>
      <c r="C716" s="485"/>
    </row>
    <row r="717" spans="1:3">
      <c r="A717" s="481"/>
      <c r="B717" s="481"/>
      <c r="C717" s="485"/>
    </row>
    <row r="718" spans="1:3">
      <c r="A718" s="481"/>
      <c r="B718" s="481"/>
      <c r="C718" s="485"/>
    </row>
    <row r="719" spans="1:3">
      <c r="A719" s="481"/>
      <c r="B719" s="481"/>
      <c r="C719" s="485"/>
    </row>
    <row r="720" spans="1:3">
      <c r="A720" s="481"/>
      <c r="B720" s="481"/>
      <c r="C720" s="485"/>
    </row>
    <row r="721" spans="1:3">
      <c r="A721" s="481"/>
      <c r="B721" s="481"/>
      <c r="C721" s="485"/>
    </row>
    <row r="722" spans="1:3">
      <c r="A722" s="481"/>
      <c r="B722" s="481"/>
      <c r="C722" s="485"/>
    </row>
    <row r="723" spans="1:3">
      <c r="A723" s="481"/>
      <c r="B723" s="481"/>
      <c r="C723" s="485"/>
    </row>
    <row r="724" spans="1:3">
      <c r="A724" s="481"/>
      <c r="B724" s="481"/>
      <c r="C724" s="485"/>
    </row>
    <row r="725" spans="1:3">
      <c r="A725" s="481"/>
      <c r="B725" s="481"/>
      <c r="C725" s="485"/>
    </row>
    <row r="726" spans="1:3">
      <c r="A726" s="481"/>
      <c r="B726" s="481"/>
      <c r="C726" s="485"/>
    </row>
    <row r="727" spans="1:3">
      <c r="A727" s="481"/>
      <c r="B727" s="481"/>
      <c r="C727" s="485"/>
    </row>
    <row r="728" spans="1:3">
      <c r="A728" s="481"/>
      <c r="B728" s="481"/>
      <c r="C728" s="485"/>
    </row>
    <row r="729" spans="1:3">
      <c r="A729" s="481"/>
      <c r="B729" s="481"/>
      <c r="C729" s="485"/>
    </row>
    <row r="730" spans="1:3">
      <c r="A730" s="481"/>
      <c r="B730" s="481"/>
      <c r="C730" s="485"/>
    </row>
    <row r="731" spans="1:3">
      <c r="A731" s="481"/>
      <c r="B731" s="481"/>
      <c r="C731" s="485"/>
    </row>
    <row r="732" spans="1:3">
      <c r="A732" s="481"/>
      <c r="B732" s="481"/>
      <c r="C732" s="485"/>
    </row>
    <row r="733" spans="1:3">
      <c r="A733" s="481"/>
      <c r="B733" s="481"/>
      <c r="C733" s="485"/>
    </row>
    <row r="734" spans="1:3">
      <c r="A734" s="481"/>
      <c r="B734" s="481"/>
      <c r="C734" s="485"/>
    </row>
    <row r="735" spans="1:3">
      <c r="A735" s="481"/>
      <c r="B735" s="481"/>
      <c r="C735" s="485"/>
    </row>
    <row r="736" spans="1:3">
      <c r="A736" s="481"/>
      <c r="B736" s="481"/>
      <c r="C736" s="485"/>
    </row>
    <row r="737" spans="1:3">
      <c r="A737" s="481"/>
      <c r="B737" s="481"/>
      <c r="C737" s="485"/>
    </row>
    <row r="738" spans="1:3">
      <c r="A738" s="481"/>
      <c r="B738" s="481"/>
      <c r="C738" s="485"/>
    </row>
    <row r="739" spans="1:3">
      <c r="A739" s="481"/>
      <c r="B739" s="481"/>
      <c r="C739" s="485"/>
    </row>
    <row r="740" spans="1:3">
      <c r="A740" s="481"/>
      <c r="B740" s="481"/>
      <c r="C740" s="485"/>
    </row>
    <row r="741" spans="1:3">
      <c r="A741" s="481"/>
      <c r="B741" s="481"/>
      <c r="C741" s="485"/>
    </row>
    <row r="742" spans="1:3">
      <c r="A742" s="481"/>
      <c r="B742" s="481"/>
      <c r="C742" s="485"/>
    </row>
    <row r="743" spans="1:3">
      <c r="A743" s="481"/>
      <c r="B743" s="481"/>
      <c r="C743" s="485"/>
    </row>
    <row r="744" spans="1:3">
      <c r="A744" s="481"/>
      <c r="B744" s="481"/>
      <c r="C744" s="485"/>
    </row>
    <row r="745" spans="1:3">
      <c r="A745" s="481"/>
      <c r="B745" s="481"/>
      <c r="C745" s="485"/>
    </row>
    <row r="746" spans="1:3">
      <c r="A746" s="481"/>
      <c r="B746" s="481"/>
      <c r="C746" s="485"/>
    </row>
    <row r="747" spans="1:3">
      <c r="A747" s="481"/>
      <c r="B747" s="481"/>
      <c r="C747" s="485"/>
    </row>
    <row r="748" spans="1:3">
      <c r="A748" s="481"/>
      <c r="B748" s="481"/>
      <c r="C748" s="485"/>
    </row>
    <row r="749" spans="1:3">
      <c r="A749" s="481"/>
      <c r="B749" s="481"/>
      <c r="C749" s="485"/>
    </row>
    <row r="750" spans="1:3">
      <c r="A750" s="481"/>
      <c r="B750" s="481"/>
      <c r="C750" s="485"/>
    </row>
    <row r="751" spans="1:3">
      <c r="A751" s="481"/>
      <c r="B751" s="481"/>
      <c r="C751" s="485"/>
    </row>
    <row r="752" spans="1:3">
      <c r="A752" s="481"/>
      <c r="B752" s="481"/>
      <c r="C752" s="485"/>
    </row>
    <row r="753" spans="1:3">
      <c r="A753" s="481"/>
      <c r="B753" s="481"/>
      <c r="C753" s="485"/>
    </row>
    <row r="754" spans="1:3">
      <c r="A754" s="481"/>
      <c r="B754" s="481"/>
      <c r="C754" s="485"/>
    </row>
    <row r="755" spans="1:3">
      <c r="A755" s="481"/>
      <c r="B755" s="481"/>
      <c r="C755" s="485"/>
    </row>
    <row r="756" spans="1:3">
      <c r="A756" s="481"/>
      <c r="B756" s="481"/>
      <c r="C756" s="485"/>
    </row>
    <row r="757" spans="1:3">
      <c r="A757" s="481"/>
      <c r="B757" s="481"/>
      <c r="C757" s="485"/>
    </row>
    <row r="758" spans="1:3">
      <c r="A758" s="481"/>
      <c r="B758" s="481"/>
      <c r="C758" s="485"/>
    </row>
    <row r="759" spans="1:3">
      <c r="A759" s="481"/>
      <c r="B759" s="481"/>
      <c r="C759" s="485"/>
    </row>
    <row r="760" spans="1:3">
      <c r="A760" s="481"/>
      <c r="B760" s="481"/>
      <c r="C760" s="485"/>
    </row>
    <row r="761" spans="1:3">
      <c r="A761" s="481"/>
      <c r="B761" s="481"/>
      <c r="C761" s="485"/>
    </row>
    <row r="762" spans="1:3">
      <c r="A762" s="481"/>
      <c r="B762" s="481"/>
      <c r="C762" s="485"/>
    </row>
    <row r="763" spans="1:3">
      <c r="A763" s="481"/>
      <c r="B763" s="481"/>
      <c r="C763" s="485"/>
    </row>
    <row r="764" spans="1:3">
      <c r="A764" s="481"/>
      <c r="B764" s="481"/>
      <c r="C764" s="485"/>
    </row>
    <row r="765" spans="1:3">
      <c r="A765" s="481"/>
      <c r="B765" s="481"/>
      <c r="C765" s="485"/>
    </row>
    <row r="766" spans="1:3">
      <c r="A766" s="481"/>
      <c r="B766" s="481"/>
      <c r="C766" s="485"/>
    </row>
    <row r="767" spans="1:3">
      <c r="A767" s="481"/>
      <c r="B767" s="481"/>
      <c r="C767" s="485"/>
    </row>
    <row r="768" spans="1:3">
      <c r="A768" s="481"/>
      <c r="B768" s="481"/>
      <c r="C768" s="485"/>
    </row>
    <row r="769" spans="1:3">
      <c r="A769" s="481"/>
      <c r="B769" s="481"/>
      <c r="C769" s="485"/>
    </row>
    <row r="770" spans="1:3">
      <c r="A770" s="481"/>
      <c r="B770" s="481"/>
      <c r="C770" s="485"/>
    </row>
    <row r="771" spans="1:3">
      <c r="A771" s="481"/>
      <c r="B771" s="481"/>
      <c r="C771" s="485"/>
    </row>
    <row r="772" spans="1:3">
      <c r="A772" s="481"/>
      <c r="B772" s="481"/>
      <c r="C772" s="485"/>
    </row>
    <row r="773" spans="1:3">
      <c r="A773" s="481"/>
      <c r="B773" s="481"/>
      <c r="C773" s="485"/>
    </row>
    <row r="774" spans="1:3">
      <c r="A774" s="481"/>
      <c r="B774" s="481"/>
      <c r="C774" s="485"/>
    </row>
    <row r="775" spans="1:3">
      <c r="A775" s="481"/>
      <c r="B775" s="481"/>
      <c r="C775" s="485"/>
    </row>
    <row r="776" spans="1:3">
      <c r="A776" s="481"/>
      <c r="B776" s="481"/>
      <c r="C776" s="485"/>
    </row>
    <row r="777" spans="1:3">
      <c r="A777" s="481"/>
      <c r="B777" s="481"/>
      <c r="C777" s="485"/>
    </row>
    <row r="778" spans="1:3">
      <c r="A778" s="481"/>
      <c r="B778" s="481"/>
      <c r="C778" s="485"/>
    </row>
    <row r="779" spans="1:3">
      <c r="A779" s="481"/>
      <c r="B779" s="481"/>
      <c r="C779" s="485"/>
    </row>
    <row r="780" spans="1:3">
      <c r="A780" s="481"/>
      <c r="B780" s="481"/>
      <c r="C780" s="485"/>
    </row>
    <row r="781" spans="1:3">
      <c r="A781" s="481"/>
      <c r="B781" s="481"/>
      <c r="C781" s="485"/>
    </row>
    <row r="782" spans="1:3">
      <c r="A782" s="481"/>
      <c r="B782" s="481"/>
      <c r="C782" s="485"/>
    </row>
    <row r="783" spans="1:3">
      <c r="A783" s="481"/>
      <c r="B783" s="481"/>
      <c r="C783" s="485"/>
    </row>
    <row r="784" spans="1:3">
      <c r="A784" s="481"/>
      <c r="B784" s="481"/>
      <c r="C784" s="485"/>
    </row>
    <row r="785" spans="1:3">
      <c r="A785" s="481"/>
      <c r="B785" s="481"/>
      <c r="C785" s="485"/>
    </row>
    <row r="786" spans="1:3">
      <c r="A786" s="481"/>
      <c r="B786" s="481"/>
      <c r="C786" s="485"/>
    </row>
    <row r="787" spans="1:3">
      <c r="A787" s="481"/>
      <c r="B787" s="481"/>
      <c r="C787" s="485"/>
    </row>
    <row r="788" spans="1:3">
      <c r="A788" s="481"/>
      <c r="B788" s="481"/>
      <c r="C788" s="485"/>
    </row>
    <row r="789" spans="1:3">
      <c r="A789" s="481"/>
      <c r="B789" s="481"/>
      <c r="C789" s="485"/>
    </row>
    <row r="790" spans="1:3">
      <c r="A790" s="481"/>
      <c r="B790" s="481"/>
      <c r="C790" s="485"/>
    </row>
    <row r="791" spans="1:3">
      <c r="A791" s="481"/>
      <c r="B791" s="481"/>
      <c r="C791" s="485"/>
    </row>
    <row r="792" spans="1:3">
      <c r="A792" s="481"/>
      <c r="B792" s="481"/>
      <c r="C792" s="485"/>
    </row>
    <row r="793" spans="1:3">
      <c r="A793" s="481"/>
      <c r="B793" s="481"/>
      <c r="C793" s="485"/>
    </row>
    <row r="794" spans="1:3">
      <c r="A794" s="481"/>
      <c r="B794" s="481"/>
      <c r="C794" s="485"/>
    </row>
    <row r="795" spans="1:3">
      <c r="A795" s="481"/>
      <c r="B795" s="481"/>
      <c r="C795" s="485"/>
    </row>
    <row r="796" spans="1:3">
      <c r="A796" s="481"/>
      <c r="B796" s="481"/>
      <c r="C796" s="485"/>
    </row>
    <row r="797" spans="1:3">
      <c r="A797" s="481"/>
      <c r="B797" s="481"/>
      <c r="C797" s="485"/>
    </row>
    <row r="798" spans="1:3">
      <c r="A798" s="481"/>
      <c r="B798" s="481"/>
      <c r="C798" s="485"/>
    </row>
    <row r="799" spans="1:3">
      <c r="A799" s="481"/>
      <c r="B799" s="481"/>
      <c r="C799" s="485"/>
    </row>
    <row r="800" spans="1:3">
      <c r="A800" s="481"/>
      <c r="B800" s="481"/>
      <c r="C800" s="485"/>
    </row>
    <row r="801" spans="1:3">
      <c r="A801" s="481"/>
      <c r="B801" s="481"/>
      <c r="C801" s="485"/>
    </row>
    <row r="802" spans="1:3">
      <c r="A802" s="481"/>
      <c r="B802" s="481"/>
      <c r="C802" s="485"/>
    </row>
    <row r="803" spans="1:3">
      <c r="A803" s="481"/>
      <c r="B803" s="481"/>
      <c r="C803" s="485"/>
    </row>
    <row r="804" spans="1:3">
      <c r="A804" s="481"/>
      <c r="B804" s="481"/>
      <c r="C804" s="485"/>
    </row>
    <row r="805" spans="1:3">
      <c r="A805" s="481"/>
      <c r="B805" s="481"/>
      <c r="C805" s="485"/>
    </row>
    <row r="806" spans="1:3">
      <c r="A806" s="481"/>
      <c r="B806" s="481"/>
      <c r="C806" s="485"/>
    </row>
    <row r="807" spans="1:3">
      <c r="A807" s="481"/>
      <c r="B807" s="481"/>
      <c r="C807" s="485"/>
    </row>
    <row r="808" spans="1:3">
      <c r="A808" s="481"/>
      <c r="B808" s="481"/>
      <c r="C808" s="485"/>
    </row>
    <row r="809" spans="1:3">
      <c r="A809" s="481"/>
      <c r="B809" s="481"/>
      <c r="C809" s="485"/>
    </row>
    <row r="810" spans="1:3">
      <c r="A810" s="481"/>
      <c r="B810" s="481"/>
      <c r="C810" s="485"/>
    </row>
    <row r="811" spans="1:3">
      <c r="A811" s="481"/>
      <c r="B811" s="481"/>
      <c r="C811" s="485"/>
    </row>
    <row r="812" spans="1:3">
      <c r="A812" s="481"/>
      <c r="B812" s="481"/>
      <c r="C812" s="485"/>
    </row>
    <row r="813" spans="1:3">
      <c r="A813" s="481"/>
      <c r="B813" s="481"/>
      <c r="C813" s="485"/>
    </row>
    <row r="814" spans="1:3">
      <c r="A814" s="481"/>
      <c r="B814" s="481"/>
      <c r="C814" s="485"/>
    </row>
    <row r="815" spans="1:3">
      <c r="A815" s="481"/>
      <c r="B815" s="481"/>
      <c r="C815" s="485"/>
    </row>
    <row r="816" spans="1:3">
      <c r="A816" s="481"/>
      <c r="B816" s="481"/>
      <c r="C816" s="485"/>
    </row>
    <row r="817" spans="1:3">
      <c r="A817" s="481"/>
      <c r="B817" s="481"/>
      <c r="C817" s="485"/>
    </row>
    <row r="818" spans="1:3">
      <c r="A818" s="481"/>
      <c r="B818" s="481"/>
      <c r="C818" s="485"/>
    </row>
    <row r="819" spans="1:3">
      <c r="A819" s="481"/>
      <c r="B819" s="481"/>
      <c r="C819" s="485"/>
    </row>
    <row r="820" spans="1:3">
      <c r="A820" s="481"/>
      <c r="B820" s="481"/>
      <c r="C820" s="485"/>
    </row>
    <row r="821" spans="1:3">
      <c r="A821" s="481"/>
      <c r="B821" s="481"/>
      <c r="C821" s="485"/>
    </row>
    <row r="822" spans="1:3">
      <c r="A822" s="481"/>
      <c r="B822" s="481"/>
      <c r="C822" s="485"/>
    </row>
    <row r="823" spans="1:3">
      <c r="A823" s="481"/>
      <c r="B823" s="481"/>
      <c r="C823" s="485"/>
    </row>
    <row r="824" spans="1:3">
      <c r="A824" s="481"/>
      <c r="B824" s="481"/>
      <c r="C824" s="485"/>
    </row>
    <row r="825" spans="1:3">
      <c r="A825" s="481"/>
      <c r="B825" s="481"/>
      <c r="C825" s="485"/>
    </row>
    <row r="826" spans="1:3">
      <c r="A826" s="481"/>
      <c r="B826" s="481"/>
      <c r="C826" s="485"/>
    </row>
    <row r="827" spans="1:3">
      <c r="A827" s="481"/>
      <c r="B827" s="481"/>
      <c r="C827" s="485"/>
    </row>
    <row r="828" spans="1:3">
      <c r="A828" s="481"/>
      <c r="B828" s="481"/>
      <c r="C828" s="485"/>
    </row>
    <row r="829" spans="1:3">
      <c r="A829" s="481"/>
      <c r="B829" s="481"/>
      <c r="C829" s="485"/>
    </row>
    <row r="830" spans="1:3">
      <c r="A830" s="481"/>
      <c r="B830" s="481"/>
      <c r="C830" s="485"/>
    </row>
    <row r="831" spans="1:3">
      <c r="A831" s="481"/>
      <c r="B831" s="481"/>
      <c r="C831" s="485"/>
    </row>
    <row r="832" spans="1:3">
      <c r="A832" s="481"/>
      <c r="B832" s="481"/>
      <c r="C832" s="485"/>
    </row>
    <row r="833" spans="1:3">
      <c r="A833" s="481"/>
      <c r="B833" s="481"/>
      <c r="C833" s="485"/>
    </row>
    <row r="834" spans="1:3">
      <c r="A834" s="481"/>
      <c r="B834" s="481"/>
      <c r="C834" s="485"/>
    </row>
    <row r="835" spans="1:3">
      <c r="A835" s="481"/>
      <c r="B835" s="481"/>
      <c r="C835" s="485"/>
    </row>
    <row r="836" spans="1:3">
      <c r="A836" s="481"/>
      <c r="B836" s="481"/>
      <c r="C836" s="485"/>
    </row>
    <row r="837" spans="1:3">
      <c r="A837" s="481"/>
      <c r="B837" s="481"/>
      <c r="C837" s="485"/>
    </row>
    <row r="838" spans="1:3">
      <c r="A838" s="481"/>
      <c r="B838" s="481"/>
      <c r="C838" s="485"/>
    </row>
    <row r="839" spans="1:3">
      <c r="A839" s="481"/>
      <c r="B839" s="481"/>
      <c r="C839" s="485"/>
    </row>
    <row r="840" spans="1:3">
      <c r="A840" s="481"/>
      <c r="B840" s="481"/>
      <c r="C840" s="485"/>
    </row>
    <row r="841" spans="1:3">
      <c r="A841" s="481"/>
      <c r="B841" s="481"/>
      <c r="C841" s="485"/>
    </row>
    <row r="842" spans="1:3">
      <c r="A842" s="481"/>
      <c r="B842" s="481"/>
      <c r="C842" s="485"/>
    </row>
    <row r="843" spans="1:3">
      <c r="A843" s="481"/>
      <c r="B843" s="481"/>
      <c r="C843" s="485"/>
    </row>
    <row r="844" spans="1:3">
      <c r="A844" s="481"/>
      <c r="B844" s="481"/>
      <c r="C844" s="485"/>
    </row>
    <row r="845" spans="1:3">
      <c r="A845" s="481"/>
      <c r="B845" s="481"/>
      <c r="C845" s="485"/>
    </row>
    <row r="846" spans="1:3">
      <c r="A846" s="481"/>
      <c r="B846" s="481"/>
      <c r="C846" s="485"/>
    </row>
    <row r="847" spans="1:3">
      <c r="A847" s="481"/>
      <c r="B847" s="481"/>
      <c r="C847" s="485"/>
    </row>
    <row r="848" spans="1:3">
      <c r="A848" s="481"/>
      <c r="B848" s="481"/>
      <c r="C848" s="485"/>
    </row>
    <row r="849" spans="1:3">
      <c r="A849" s="481"/>
      <c r="B849" s="481"/>
      <c r="C849" s="485"/>
    </row>
    <row r="850" spans="1:3">
      <c r="A850" s="481"/>
      <c r="B850" s="481"/>
      <c r="C850" s="485"/>
    </row>
    <row r="851" spans="1:3">
      <c r="A851" s="481"/>
      <c r="B851" s="481"/>
      <c r="C851" s="485"/>
    </row>
    <row r="852" spans="1:3">
      <c r="A852" s="481"/>
      <c r="B852" s="481"/>
      <c r="C852" s="485"/>
    </row>
    <row r="853" spans="1:3">
      <c r="A853" s="481"/>
      <c r="B853" s="481"/>
      <c r="C853" s="485"/>
    </row>
    <row r="854" spans="1:3">
      <c r="A854" s="481"/>
      <c r="B854" s="481"/>
      <c r="C854" s="485"/>
    </row>
    <row r="855" spans="1:3">
      <c r="A855" s="481"/>
      <c r="B855" s="481"/>
      <c r="C855" s="485"/>
    </row>
    <row r="856" spans="1:3">
      <c r="A856" s="481"/>
      <c r="B856" s="481"/>
      <c r="C856" s="485"/>
    </row>
    <row r="857" spans="1:3">
      <c r="A857" s="481"/>
      <c r="B857" s="481"/>
      <c r="C857" s="485"/>
    </row>
    <row r="858" spans="1:3">
      <c r="A858" s="481"/>
      <c r="B858" s="481"/>
      <c r="C858" s="485"/>
    </row>
    <row r="859" spans="1:3">
      <c r="A859" s="481"/>
      <c r="B859" s="481"/>
      <c r="C859" s="485"/>
    </row>
    <row r="860" spans="1:3">
      <c r="A860" s="481"/>
      <c r="B860" s="481"/>
      <c r="C860" s="485"/>
    </row>
    <row r="861" spans="1:3">
      <c r="A861" s="481"/>
      <c r="B861" s="481"/>
      <c r="C861" s="485"/>
    </row>
    <row r="862" spans="1:3">
      <c r="A862" s="481"/>
      <c r="B862" s="481"/>
      <c r="C862" s="485"/>
    </row>
    <row r="863" spans="1:3">
      <c r="A863" s="481"/>
      <c r="B863" s="481"/>
      <c r="C863" s="485"/>
    </row>
    <row r="864" spans="1:3">
      <c r="A864" s="481"/>
      <c r="B864" s="481"/>
      <c r="C864" s="485"/>
    </row>
    <row r="865" spans="1:3">
      <c r="A865" s="481"/>
      <c r="B865" s="481"/>
      <c r="C865" s="485"/>
    </row>
    <row r="866" spans="1:3">
      <c r="A866" s="481"/>
      <c r="B866" s="481"/>
      <c r="C866" s="485"/>
    </row>
    <row r="867" spans="1:3">
      <c r="A867" s="481"/>
      <c r="B867" s="481"/>
      <c r="C867" s="485"/>
    </row>
    <row r="868" spans="1:3">
      <c r="A868" s="481"/>
      <c r="B868" s="481"/>
      <c r="C868" s="485"/>
    </row>
    <row r="869" spans="1:3">
      <c r="A869" s="481"/>
      <c r="B869" s="481"/>
      <c r="C869" s="485"/>
    </row>
    <row r="870" spans="1:3">
      <c r="A870" s="481"/>
      <c r="B870" s="481"/>
      <c r="C870" s="485"/>
    </row>
    <row r="871" spans="1:3">
      <c r="A871" s="481"/>
      <c r="B871" s="481"/>
      <c r="C871" s="485"/>
    </row>
    <row r="872" spans="1:3">
      <c r="A872" s="481"/>
      <c r="B872" s="481"/>
      <c r="C872" s="485"/>
    </row>
    <row r="873" spans="1:3">
      <c r="A873" s="481"/>
      <c r="B873" s="481"/>
      <c r="C873" s="485"/>
    </row>
    <row r="874" spans="1:3">
      <c r="A874" s="481"/>
      <c r="B874" s="481"/>
      <c r="C874" s="485"/>
    </row>
    <row r="875" spans="1:3">
      <c r="A875" s="481"/>
      <c r="B875" s="481"/>
      <c r="C875" s="485"/>
    </row>
    <row r="876" spans="1:3">
      <c r="A876" s="481"/>
      <c r="B876" s="481"/>
      <c r="C876" s="485"/>
    </row>
    <row r="877" spans="1:3">
      <c r="A877" s="481"/>
      <c r="B877" s="481"/>
      <c r="C877" s="485"/>
    </row>
    <row r="878" spans="1:3">
      <c r="A878" s="481"/>
      <c r="B878" s="481"/>
      <c r="C878" s="485"/>
    </row>
    <row r="879" spans="1:3">
      <c r="A879" s="481"/>
      <c r="B879" s="481"/>
      <c r="C879" s="485"/>
    </row>
    <row r="880" spans="1:3">
      <c r="A880" s="481"/>
      <c r="B880" s="481"/>
      <c r="C880" s="485"/>
    </row>
    <row r="881" spans="1:3">
      <c r="A881" s="481"/>
      <c r="B881" s="481"/>
      <c r="C881" s="485"/>
    </row>
    <row r="882" spans="1:3">
      <c r="A882" s="481"/>
      <c r="B882" s="481"/>
      <c r="C882" s="485"/>
    </row>
    <row r="883" spans="1:3">
      <c r="A883" s="481"/>
      <c r="B883" s="481"/>
      <c r="C883" s="485"/>
    </row>
    <row r="884" spans="1:3">
      <c r="A884" s="481"/>
      <c r="B884" s="481"/>
      <c r="C884" s="485"/>
    </row>
    <row r="885" spans="1:3">
      <c r="A885" s="481"/>
      <c r="B885" s="481"/>
      <c r="C885" s="485"/>
    </row>
    <row r="886" spans="1:3">
      <c r="A886" s="481"/>
      <c r="B886" s="481"/>
      <c r="C886" s="485"/>
    </row>
    <row r="887" spans="1:3">
      <c r="A887" s="481"/>
      <c r="B887" s="481"/>
      <c r="C887" s="485"/>
    </row>
    <row r="888" spans="1:3">
      <c r="A888" s="481"/>
      <c r="B888" s="481"/>
      <c r="C888" s="485"/>
    </row>
    <row r="889" spans="1:3">
      <c r="A889" s="481"/>
      <c r="B889" s="481"/>
      <c r="C889" s="485"/>
    </row>
    <row r="890" spans="1:3">
      <c r="A890" s="481"/>
      <c r="B890" s="481"/>
      <c r="C890" s="485"/>
    </row>
    <row r="891" spans="1:3">
      <c r="A891" s="481"/>
      <c r="B891" s="481"/>
      <c r="C891" s="485"/>
    </row>
    <row r="892" spans="1:3">
      <c r="A892" s="481"/>
      <c r="B892" s="481"/>
      <c r="C892" s="485"/>
    </row>
    <row r="893" spans="1:3">
      <c r="A893" s="481"/>
      <c r="B893" s="481"/>
      <c r="C893" s="485"/>
    </row>
    <row r="894" spans="1:3">
      <c r="A894" s="481"/>
      <c r="B894" s="481"/>
      <c r="C894" s="485"/>
    </row>
    <row r="895" spans="1:3">
      <c r="A895" s="481"/>
      <c r="B895" s="481"/>
      <c r="C895" s="485"/>
    </row>
    <row r="896" spans="1:3">
      <c r="A896" s="481"/>
      <c r="B896" s="481"/>
      <c r="C896" s="485"/>
    </row>
    <row r="897" spans="1:3">
      <c r="A897" s="481"/>
      <c r="B897" s="481"/>
      <c r="C897" s="485"/>
    </row>
    <row r="898" spans="1:3">
      <c r="A898" s="481"/>
      <c r="B898" s="481"/>
      <c r="C898" s="485"/>
    </row>
    <row r="899" spans="1:3">
      <c r="A899" s="481"/>
      <c r="B899" s="481"/>
      <c r="C899" s="485"/>
    </row>
    <row r="900" spans="1:3">
      <c r="A900" s="481"/>
      <c r="B900" s="481"/>
      <c r="C900" s="485"/>
    </row>
    <row r="901" spans="1:3">
      <c r="A901" s="481"/>
      <c r="B901" s="481"/>
      <c r="C901" s="485"/>
    </row>
    <row r="902" spans="1:3">
      <c r="A902" s="481"/>
      <c r="B902" s="481"/>
      <c r="C902" s="485"/>
    </row>
    <row r="903" spans="1:3">
      <c r="A903" s="481"/>
      <c r="B903" s="481"/>
      <c r="C903" s="485"/>
    </row>
    <row r="904" spans="1:3">
      <c r="A904" s="481"/>
      <c r="B904" s="481"/>
      <c r="C904" s="485"/>
    </row>
    <row r="905" spans="1:3">
      <c r="A905" s="481"/>
      <c r="B905" s="481"/>
      <c r="C905" s="485"/>
    </row>
    <row r="906" spans="1:3">
      <c r="A906" s="481"/>
      <c r="B906" s="481"/>
      <c r="C906" s="485"/>
    </row>
    <row r="907" spans="1:3">
      <c r="A907" s="481"/>
      <c r="B907" s="481"/>
      <c r="C907" s="485"/>
    </row>
    <row r="908" spans="1:3">
      <c r="A908" s="481"/>
      <c r="B908" s="481"/>
      <c r="C908" s="485"/>
    </row>
    <row r="909" spans="1:3">
      <c r="A909" s="481"/>
      <c r="B909" s="481"/>
      <c r="C909" s="485"/>
    </row>
    <row r="910" spans="1:3">
      <c r="A910" s="481"/>
      <c r="B910" s="481"/>
      <c r="C910" s="485"/>
    </row>
    <row r="911" spans="1:3">
      <c r="A911" s="481"/>
      <c r="B911" s="481"/>
      <c r="C911" s="485"/>
    </row>
    <row r="912" spans="1:3">
      <c r="A912" s="481"/>
      <c r="B912" s="481"/>
      <c r="C912" s="485"/>
    </row>
    <row r="913" spans="1:3">
      <c r="A913" s="481"/>
      <c r="B913" s="481"/>
      <c r="C913" s="485"/>
    </row>
    <row r="914" spans="1:3">
      <c r="A914" s="481"/>
      <c r="B914" s="481"/>
      <c r="C914" s="485"/>
    </row>
    <row r="915" spans="1:3">
      <c r="A915" s="481"/>
      <c r="B915" s="481"/>
      <c r="C915" s="485"/>
    </row>
    <row r="916" spans="1:3">
      <c r="A916" s="481"/>
      <c r="B916" s="481"/>
      <c r="C916" s="485"/>
    </row>
    <row r="917" spans="1:3">
      <c r="A917" s="481"/>
      <c r="B917" s="481"/>
      <c r="C917" s="485"/>
    </row>
    <row r="918" spans="1:3">
      <c r="A918" s="481"/>
      <c r="B918" s="481"/>
      <c r="C918" s="485"/>
    </row>
    <row r="919" spans="1:3">
      <c r="A919" s="481"/>
      <c r="B919" s="481"/>
      <c r="C919" s="485"/>
    </row>
    <row r="920" spans="1:3">
      <c r="A920" s="481"/>
      <c r="B920" s="481"/>
      <c r="C920" s="485"/>
    </row>
    <row r="921" spans="1:3">
      <c r="A921" s="481"/>
      <c r="B921" s="481"/>
      <c r="C921" s="485"/>
    </row>
    <row r="922" spans="1:3">
      <c r="A922" s="481"/>
      <c r="B922" s="481"/>
      <c r="C922" s="485"/>
    </row>
    <row r="923" spans="1:3">
      <c r="A923" s="481"/>
      <c r="B923" s="481"/>
      <c r="C923" s="485"/>
    </row>
    <row r="924" spans="1:3">
      <c r="A924" s="481"/>
      <c r="B924" s="481"/>
      <c r="C924" s="485"/>
    </row>
    <row r="925" spans="1:3">
      <c r="A925" s="481"/>
      <c r="B925" s="481"/>
      <c r="C925" s="485"/>
    </row>
    <row r="926" spans="1:3">
      <c r="A926" s="481"/>
      <c r="B926" s="481"/>
      <c r="C926" s="485"/>
    </row>
    <row r="927" spans="1:3">
      <c r="A927" s="481"/>
      <c r="B927" s="481"/>
      <c r="C927" s="485"/>
    </row>
    <row r="928" spans="1:3">
      <c r="A928" s="481"/>
      <c r="B928" s="481"/>
      <c r="C928" s="485"/>
    </row>
    <row r="929" spans="1:3">
      <c r="A929" s="481"/>
      <c r="B929" s="481"/>
      <c r="C929" s="485"/>
    </row>
    <row r="930" spans="1:3">
      <c r="A930" s="481"/>
      <c r="B930" s="481"/>
      <c r="C930" s="485"/>
    </row>
    <row r="931" spans="1:3">
      <c r="A931" s="481"/>
      <c r="B931" s="481"/>
      <c r="C931" s="485"/>
    </row>
    <row r="932" spans="1:3">
      <c r="A932" s="481"/>
      <c r="B932" s="481"/>
      <c r="C932" s="485"/>
    </row>
    <row r="933" spans="1:3">
      <c r="A933" s="481"/>
      <c r="B933" s="481"/>
      <c r="C933" s="485"/>
    </row>
    <row r="934" spans="1:3">
      <c r="A934" s="481"/>
      <c r="B934" s="481"/>
      <c r="C934" s="485"/>
    </row>
    <row r="935" spans="1:3">
      <c r="A935" s="481"/>
      <c r="B935" s="481"/>
      <c r="C935" s="485"/>
    </row>
    <row r="936" spans="1:3">
      <c r="A936" s="481"/>
      <c r="B936" s="481"/>
      <c r="C936" s="485"/>
    </row>
    <row r="937" spans="1:3">
      <c r="A937" s="481"/>
      <c r="B937" s="481"/>
      <c r="C937" s="485"/>
    </row>
    <row r="938" spans="1:3">
      <c r="A938" s="481"/>
      <c r="B938" s="481"/>
      <c r="C938" s="485"/>
    </row>
    <row r="939" spans="1:3">
      <c r="A939" s="481"/>
      <c r="B939" s="481"/>
      <c r="C939" s="485"/>
    </row>
    <row r="940" spans="1:3">
      <c r="A940" s="481"/>
      <c r="B940" s="481"/>
      <c r="C940" s="485"/>
    </row>
    <row r="941" spans="1:3">
      <c r="A941" s="481"/>
      <c r="B941" s="481"/>
      <c r="C941" s="485"/>
    </row>
    <row r="942" spans="1:3">
      <c r="A942" s="481"/>
      <c r="B942" s="481"/>
      <c r="C942" s="485"/>
    </row>
    <row r="943" spans="1:3">
      <c r="A943" s="481"/>
      <c r="B943" s="481"/>
      <c r="C943" s="485"/>
    </row>
    <row r="944" spans="1:3">
      <c r="A944" s="481"/>
      <c r="B944" s="481"/>
      <c r="C944" s="485"/>
    </row>
    <row r="945" spans="1:3">
      <c r="A945" s="481"/>
      <c r="B945" s="481"/>
      <c r="C945" s="485"/>
    </row>
    <row r="946" spans="1:3">
      <c r="A946" s="481"/>
      <c r="B946" s="481"/>
      <c r="C946" s="485"/>
    </row>
    <row r="947" spans="1:3">
      <c r="A947" s="481"/>
      <c r="B947" s="481"/>
      <c r="C947" s="485"/>
    </row>
    <row r="948" spans="1:3">
      <c r="A948" s="481"/>
      <c r="B948" s="481"/>
      <c r="C948" s="485"/>
    </row>
    <row r="949" spans="1:3">
      <c r="A949" s="481"/>
      <c r="B949" s="481"/>
      <c r="C949" s="485"/>
    </row>
    <row r="950" spans="1:3">
      <c r="A950" s="481"/>
      <c r="B950" s="481"/>
      <c r="C950" s="485"/>
    </row>
    <row r="951" spans="1:3">
      <c r="A951" s="481"/>
      <c r="B951" s="481"/>
      <c r="C951" s="485"/>
    </row>
    <row r="952" spans="1:3">
      <c r="A952" s="481"/>
      <c r="B952" s="481"/>
      <c r="C952" s="485"/>
    </row>
    <row r="953" spans="1:3">
      <c r="A953" s="481"/>
      <c r="B953" s="481"/>
      <c r="C953" s="485"/>
    </row>
    <row r="954" spans="1:3">
      <c r="A954" s="481"/>
      <c r="B954" s="481"/>
      <c r="C954" s="485"/>
    </row>
    <row r="955" spans="1:3">
      <c r="A955" s="481"/>
      <c r="B955" s="481"/>
      <c r="C955" s="485"/>
    </row>
    <row r="956" spans="1:3">
      <c r="A956" s="481"/>
      <c r="B956" s="481"/>
      <c r="C956" s="485"/>
    </row>
    <row r="957" spans="1:3">
      <c r="A957" s="481"/>
      <c r="B957" s="481"/>
      <c r="C957" s="485"/>
    </row>
    <row r="958" spans="1:3">
      <c r="A958" s="481"/>
      <c r="B958" s="481"/>
      <c r="C958" s="485"/>
    </row>
    <row r="959" spans="1:3">
      <c r="A959" s="481"/>
      <c r="B959" s="481"/>
      <c r="C959" s="485"/>
    </row>
    <row r="960" spans="1:3">
      <c r="A960" s="481"/>
      <c r="B960" s="481"/>
      <c r="C960" s="485"/>
    </row>
    <row r="961" spans="1:3">
      <c r="A961" s="481"/>
      <c r="B961" s="481"/>
      <c r="C961" s="485"/>
    </row>
    <row r="962" spans="1:3">
      <c r="A962" s="481"/>
      <c r="B962" s="481"/>
      <c r="C962" s="485"/>
    </row>
    <row r="963" spans="1:3">
      <c r="A963" s="481"/>
      <c r="B963" s="481"/>
      <c r="C963" s="485"/>
    </row>
    <row r="964" spans="1:3">
      <c r="A964" s="481"/>
      <c r="B964" s="481"/>
      <c r="C964" s="485"/>
    </row>
    <row r="965" spans="1:3">
      <c r="A965" s="481"/>
      <c r="B965" s="481"/>
      <c r="C965" s="485"/>
    </row>
    <row r="966" spans="1:3">
      <c r="A966" s="481"/>
      <c r="B966" s="481"/>
      <c r="C966" s="485"/>
    </row>
    <row r="967" spans="1:3">
      <c r="A967" s="481"/>
      <c r="B967" s="481"/>
      <c r="C967" s="485"/>
    </row>
    <row r="968" spans="1:3">
      <c r="A968" s="481"/>
      <c r="B968" s="481"/>
      <c r="C968" s="485"/>
    </row>
    <row r="969" spans="1:3">
      <c r="A969" s="481"/>
      <c r="B969" s="481"/>
      <c r="C969" s="485"/>
    </row>
    <row r="970" spans="1:3">
      <c r="A970" s="481"/>
      <c r="B970" s="481"/>
      <c r="C970" s="485"/>
    </row>
    <row r="971" spans="1:3">
      <c r="A971" s="481"/>
      <c r="B971" s="481"/>
      <c r="C971" s="485"/>
    </row>
    <row r="972" spans="1:3">
      <c r="A972" s="481"/>
      <c r="B972" s="481"/>
      <c r="C972" s="485"/>
    </row>
    <row r="973" spans="1:3">
      <c r="A973" s="481"/>
      <c r="B973" s="481"/>
      <c r="C973" s="485"/>
    </row>
    <row r="974" spans="1:3">
      <c r="A974" s="481"/>
      <c r="B974" s="481"/>
      <c r="C974" s="485"/>
    </row>
    <row r="975" spans="1:3">
      <c r="A975" s="481"/>
      <c r="B975" s="481"/>
      <c r="C975" s="485"/>
    </row>
    <row r="976" spans="1:3">
      <c r="A976" s="481"/>
      <c r="B976" s="481"/>
      <c r="C976" s="485"/>
    </row>
    <row r="977" spans="1:3">
      <c r="A977" s="481"/>
      <c r="B977" s="481"/>
      <c r="C977" s="485"/>
    </row>
    <row r="978" spans="1:3">
      <c r="A978" s="481"/>
      <c r="B978" s="481"/>
      <c r="C978" s="485"/>
    </row>
    <row r="979" spans="1:3">
      <c r="A979" s="481"/>
      <c r="B979" s="481"/>
      <c r="C979" s="485"/>
    </row>
    <row r="980" spans="1:3">
      <c r="A980" s="481"/>
      <c r="B980" s="481"/>
      <c r="C980" s="485"/>
    </row>
    <row r="981" spans="1:3">
      <c r="A981" s="481"/>
      <c r="B981" s="481"/>
      <c r="C981" s="485"/>
    </row>
    <row r="982" spans="1:3">
      <c r="A982" s="481"/>
      <c r="B982" s="481"/>
      <c r="C982" s="485"/>
    </row>
    <row r="983" spans="1:3">
      <c r="A983" s="481"/>
      <c r="B983" s="481"/>
      <c r="C983" s="485"/>
    </row>
    <row r="984" spans="1:3">
      <c r="A984" s="481"/>
      <c r="B984" s="481"/>
      <c r="C984" s="485"/>
    </row>
    <row r="985" spans="1:3">
      <c r="A985" s="481"/>
      <c r="B985" s="481"/>
      <c r="C985" s="485"/>
    </row>
    <row r="986" spans="1:3">
      <c r="A986" s="481"/>
      <c r="B986" s="481"/>
      <c r="C986" s="485"/>
    </row>
    <row r="987" spans="1:3">
      <c r="A987" s="481"/>
      <c r="B987" s="481"/>
      <c r="C987" s="485"/>
    </row>
    <row r="988" spans="1:3">
      <c r="A988" s="481"/>
      <c r="B988" s="481"/>
      <c r="C988" s="485"/>
    </row>
    <row r="989" spans="1:3">
      <c r="A989" s="481"/>
      <c r="B989" s="481"/>
      <c r="C989" s="485"/>
    </row>
    <row r="990" spans="1:3">
      <c r="A990" s="481"/>
      <c r="B990" s="481"/>
      <c r="C990" s="485"/>
    </row>
    <row r="991" spans="1:3">
      <c r="A991" s="481"/>
      <c r="B991" s="481"/>
      <c r="C991" s="485"/>
    </row>
    <row r="992" spans="1:3">
      <c r="A992" s="481"/>
      <c r="B992" s="481"/>
      <c r="C992" s="485"/>
    </row>
    <row r="993" spans="1:3">
      <c r="A993" s="481"/>
      <c r="B993" s="481"/>
      <c r="C993" s="485"/>
    </row>
    <row r="994" spans="1:3">
      <c r="A994" s="481"/>
      <c r="B994" s="481"/>
      <c r="C994" s="485"/>
    </row>
    <row r="995" spans="1:3">
      <c r="A995" s="481"/>
      <c r="B995" s="481"/>
      <c r="C995" s="485"/>
    </row>
    <row r="996" spans="1:3">
      <c r="A996" s="481"/>
      <c r="B996" s="481"/>
      <c r="C996" s="485"/>
    </row>
    <row r="997" spans="1:3">
      <c r="A997" s="481"/>
      <c r="B997" s="481"/>
      <c r="C997" s="485"/>
    </row>
    <row r="998" spans="1:3">
      <c r="A998" s="481"/>
      <c r="B998" s="481"/>
      <c r="C998" s="485"/>
    </row>
    <row r="999" spans="1:3">
      <c r="A999" s="481"/>
      <c r="B999" s="481"/>
      <c r="C999" s="485"/>
    </row>
    <row r="1000" spans="1:3">
      <c r="A1000" s="481"/>
      <c r="B1000" s="481"/>
      <c r="C1000" s="485"/>
    </row>
    <row r="1001" spans="1:3">
      <c r="A1001" s="481"/>
      <c r="B1001" s="481"/>
      <c r="C1001" s="485"/>
    </row>
    <row r="1002" spans="1:3">
      <c r="A1002" s="481"/>
      <c r="B1002" s="481"/>
      <c r="C1002" s="485"/>
    </row>
    <row r="1003" spans="1:3">
      <c r="A1003" s="481"/>
      <c r="B1003" s="481"/>
      <c r="C1003" s="485"/>
    </row>
    <row r="1004" spans="1:3">
      <c r="A1004" s="481"/>
      <c r="B1004" s="481"/>
      <c r="C1004" s="485"/>
    </row>
    <row r="1005" spans="1:3">
      <c r="A1005" s="481"/>
      <c r="B1005" s="481"/>
      <c r="C1005" s="485"/>
    </row>
    <row r="1006" spans="1:3">
      <c r="A1006" s="481"/>
      <c r="B1006" s="481"/>
      <c r="C1006" s="485"/>
    </row>
    <row r="1007" spans="1:3">
      <c r="A1007" s="481"/>
      <c r="B1007" s="481"/>
      <c r="C1007" s="485"/>
    </row>
    <row r="1008" spans="1:3">
      <c r="A1008" s="481"/>
      <c r="B1008" s="481"/>
      <c r="C1008" s="485"/>
    </row>
    <row r="1009" spans="1:3">
      <c r="A1009" s="481"/>
      <c r="B1009" s="481"/>
      <c r="C1009" s="485"/>
    </row>
    <row r="1010" spans="1:3">
      <c r="A1010" s="481"/>
      <c r="B1010" s="481"/>
      <c r="C1010" s="485"/>
    </row>
    <row r="1011" spans="1:3">
      <c r="A1011" s="481"/>
      <c r="B1011" s="481"/>
      <c r="C1011" s="485"/>
    </row>
    <row r="1012" spans="1:3">
      <c r="A1012" s="481"/>
      <c r="B1012" s="481"/>
      <c r="C1012" s="485"/>
    </row>
    <row r="1013" spans="1:3">
      <c r="A1013" s="481"/>
      <c r="B1013" s="481"/>
      <c r="C1013" s="485"/>
    </row>
    <row r="1014" spans="1:3">
      <c r="A1014" s="481"/>
      <c r="B1014" s="481"/>
      <c r="C1014" s="485"/>
    </row>
    <row r="1015" spans="1:3">
      <c r="A1015" s="481"/>
      <c r="B1015" s="481"/>
      <c r="C1015" s="485"/>
    </row>
    <row r="1016" spans="1:3">
      <c r="A1016" s="481"/>
      <c r="B1016" s="481"/>
      <c r="C1016" s="485"/>
    </row>
    <row r="1017" spans="1:3">
      <c r="A1017" s="481"/>
      <c r="B1017" s="481"/>
      <c r="C1017" s="485"/>
    </row>
    <row r="1018" spans="1:3">
      <c r="A1018" s="481"/>
      <c r="B1018" s="481"/>
      <c r="C1018" s="485"/>
    </row>
    <row r="1019" spans="1:3">
      <c r="A1019" s="481"/>
      <c r="B1019" s="481"/>
      <c r="C1019" s="485"/>
    </row>
    <row r="1020" spans="1:3">
      <c r="A1020" s="481"/>
      <c r="B1020" s="481"/>
      <c r="C1020" s="485"/>
    </row>
    <row r="1021" spans="1:3">
      <c r="A1021" s="481"/>
      <c r="B1021" s="481"/>
      <c r="C1021" s="485"/>
    </row>
    <row r="1022" spans="1:3">
      <c r="A1022" s="481"/>
      <c r="B1022" s="481"/>
      <c r="C1022" s="485"/>
    </row>
    <row r="1023" spans="1:3">
      <c r="A1023" s="481"/>
      <c r="B1023" s="481"/>
      <c r="C1023" s="485"/>
    </row>
    <row r="1024" spans="1:3">
      <c r="A1024" s="481"/>
      <c r="B1024" s="481"/>
      <c r="C1024" s="485"/>
    </row>
    <row r="1025" spans="1:3">
      <c r="A1025" s="481"/>
      <c r="B1025" s="481"/>
      <c r="C1025" s="485"/>
    </row>
    <row r="1026" spans="1:3">
      <c r="A1026" s="481"/>
      <c r="B1026" s="481"/>
      <c r="C1026" s="485"/>
    </row>
    <row r="1027" spans="1:3">
      <c r="A1027" s="481"/>
      <c r="B1027" s="481"/>
      <c r="C1027" s="485"/>
    </row>
    <row r="1028" spans="1:3">
      <c r="A1028" s="481"/>
      <c r="B1028" s="481"/>
      <c r="C1028" s="485"/>
    </row>
    <row r="1029" spans="1:3">
      <c r="A1029" s="481"/>
      <c r="B1029" s="481"/>
      <c r="C1029" s="485"/>
    </row>
    <row r="1030" spans="1:3">
      <c r="A1030" s="481"/>
      <c r="B1030" s="481"/>
      <c r="C1030" s="485"/>
    </row>
    <row r="1031" spans="1:3">
      <c r="A1031" s="481"/>
      <c r="B1031" s="481"/>
      <c r="C1031" s="485"/>
    </row>
    <row r="1032" spans="1:3">
      <c r="A1032" s="481"/>
      <c r="B1032" s="481"/>
      <c r="C1032" s="485"/>
    </row>
    <row r="1033" spans="1:3">
      <c r="A1033" s="481"/>
      <c r="B1033" s="481"/>
      <c r="C1033" s="485"/>
    </row>
    <row r="1034" spans="1:3">
      <c r="A1034" s="481"/>
      <c r="B1034" s="481"/>
      <c r="C1034" s="485"/>
    </row>
    <row r="1035" spans="1:3">
      <c r="A1035" s="481"/>
      <c r="B1035" s="481"/>
      <c r="C1035" s="485"/>
    </row>
    <row r="1036" spans="1:3">
      <c r="A1036" s="481"/>
      <c r="B1036" s="481"/>
      <c r="C1036" s="485"/>
    </row>
    <row r="1037" spans="1:3">
      <c r="A1037" s="481"/>
      <c r="B1037" s="481"/>
      <c r="C1037" s="485"/>
    </row>
    <row r="1038" spans="1:3">
      <c r="A1038" s="481"/>
      <c r="B1038" s="481"/>
      <c r="C1038" s="485"/>
    </row>
    <row r="1039" spans="1:3">
      <c r="A1039" s="481"/>
      <c r="B1039" s="481"/>
      <c r="C1039" s="485"/>
    </row>
    <row r="1040" spans="1:3">
      <c r="A1040" s="481"/>
      <c r="B1040" s="481"/>
      <c r="C1040" s="485"/>
    </row>
    <row r="1041" spans="1:3">
      <c r="A1041" s="481"/>
      <c r="B1041" s="481"/>
      <c r="C1041" s="485"/>
    </row>
    <row r="1042" spans="1:3">
      <c r="A1042" s="481"/>
      <c r="B1042" s="481"/>
      <c r="C1042" s="485"/>
    </row>
    <row r="1043" spans="1:3">
      <c r="A1043" s="481"/>
      <c r="B1043" s="481"/>
      <c r="C1043" s="485"/>
    </row>
    <row r="1044" spans="1:3">
      <c r="A1044" s="481"/>
      <c r="B1044" s="481"/>
      <c r="C1044" s="485"/>
    </row>
    <row r="1045" spans="1:3">
      <c r="A1045" s="481"/>
      <c r="B1045" s="481"/>
      <c r="C1045" s="485"/>
    </row>
    <row r="1046" spans="1:3">
      <c r="A1046" s="481"/>
      <c r="B1046" s="481"/>
      <c r="C1046" s="485"/>
    </row>
    <row r="1047" spans="1:3">
      <c r="A1047" s="481"/>
      <c r="B1047" s="481"/>
      <c r="C1047" s="485"/>
    </row>
    <row r="1048" spans="1:3">
      <c r="A1048" s="481"/>
      <c r="B1048" s="481"/>
      <c r="C1048" s="485"/>
    </row>
    <row r="1049" spans="1:3">
      <c r="A1049" s="481"/>
      <c r="B1049" s="481"/>
      <c r="C1049" s="485"/>
    </row>
    <row r="1050" spans="1:3">
      <c r="A1050" s="481"/>
      <c r="B1050" s="481"/>
      <c r="C1050" s="485"/>
    </row>
    <row r="1051" spans="1:3">
      <c r="A1051" s="481"/>
      <c r="B1051" s="481"/>
      <c r="C1051" s="485"/>
    </row>
    <row r="1052" spans="1:3">
      <c r="A1052" s="481"/>
      <c r="B1052" s="481"/>
      <c r="C1052" s="485"/>
    </row>
    <row r="1053" spans="1:3">
      <c r="A1053" s="481"/>
      <c r="B1053" s="481"/>
      <c r="C1053" s="485"/>
    </row>
    <row r="1054" spans="1:3">
      <c r="A1054" s="481"/>
      <c r="B1054" s="481"/>
      <c r="C1054" s="485"/>
    </row>
    <row r="1055" spans="1:3">
      <c r="A1055" s="481"/>
      <c r="B1055" s="481"/>
      <c r="C1055" s="485"/>
    </row>
    <row r="1056" spans="1:3">
      <c r="A1056" s="481"/>
      <c r="B1056" s="481"/>
      <c r="C1056" s="485"/>
    </row>
    <row r="1057" spans="1:3">
      <c r="A1057" s="481"/>
      <c r="B1057" s="481"/>
      <c r="C1057" s="485"/>
    </row>
    <row r="1058" spans="1:3">
      <c r="A1058" s="481"/>
      <c r="B1058" s="481"/>
      <c r="C1058" s="485"/>
    </row>
    <row r="1059" spans="1:3">
      <c r="A1059" s="481"/>
      <c r="B1059" s="481"/>
      <c r="C1059" s="485"/>
    </row>
    <row r="1060" spans="1:3">
      <c r="A1060" s="481"/>
      <c r="B1060" s="481"/>
      <c r="C1060" s="485"/>
    </row>
    <row r="1061" spans="1:3">
      <c r="A1061" s="481"/>
      <c r="B1061" s="481"/>
      <c r="C1061" s="485"/>
    </row>
    <row r="1062" spans="1:3">
      <c r="A1062" s="481"/>
      <c r="B1062" s="481"/>
      <c r="C1062" s="485"/>
    </row>
    <row r="1063" spans="1:3">
      <c r="A1063" s="481"/>
      <c r="B1063" s="481"/>
      <c r="C1063" s="485"/>
    </row>
    <row r="1064" spans="1:3">
      <c r="A1064" s="481"/>
      <c r="B1064" s="481"/>
      <c r="C1064" s="485"/>
    </row>
    <row r="1065" spans="1:3">
      <c r="A1065" s="481"/>
      <c r="B1065" s="481"/>
      <c r="C1065" s="485"/>
    </row>
    <row r="1066" spans="1:3">
      <c r="A1066" s="481"/>
      <c r="B1066" s="481"/>
      <c r="C1066" s="485"/>
    </row>
    <row r="1067" spans="1:3">
      <c r="A1067" s="481"/>
      <c r="B1067" s="481"/>
      <c r="C1067" s="485"/>
    </row>
    <row r="1068" spans="1:3">
      <c r="A1068" s="481"/>
      <c r="B1068" s="481"/>
      <c r="C1068" s="485"/>
    </row>
    <row r="1069" spans="1:3">
      <c r="A1069" s="481"/>
      <c r="B1069" s="481"/>
      <c r="C1069" s="485"/>
    </row>
    <row r="1070" spans="1:3">
      <c r="A1070" s="481"/>
      <c r="B1070" s="481"/>
      <c r="C1070" s="485"/>
    </row>
    <row r="1071" spans="1:3">
      <c r="A1071" s="481"/>
      <c r="B1071" s="481"/>
      <c r="C1071" s="485"/>
    </row>
    <row r="1072" spans="1:3">
      <c r="A1072" s="481"/>
      <c r="B1072" s="481"/>
      <c r="C1072" s="485"/>
    </row>
    <row r="1073" spans="1:3">
      <c r="A1073" s="481"/>
      <c r="B1073" s="481"/>
      <c r="C1073" s="485"/>
    </row>
    <row r="1074" spans="1:3">
      <c r="A1074" s="481"/>
      <c r="B1074" s="481"/>
      <c r="C1074" s="485"/>
    </row>
    <row r="1075" spans="1:3">
      <c r="A1075" s="481"/>
      <c r="B1075" s="481"/>
      <c r="C1075" s="485"/>
    </row>
    <row r="1076" spans="1:3">
      <c r="A1076" s="481"/>
      <c r="B1076" s="481"/>
      <c r="C1076" s="485"/>
    </row>
    <row r="1077" spans="1:3">
      <c r="A1077" s="481"/>
      <c r="B1077" s="481"/>
      <c r="C1077" s="485"/>
    </row>
    <row r="1078" spans="1:3">
      <c r="A1078" s="481"/>
      <c r="B1078" s="481"/>
      <c r="C1078" s="485"/>
    </row>
    <row r="1079" spans="1:3">
      <c r="A1079" s="481"/>
      <c r="B1079" s="481"/>
      <c r="C1079" s="485"/>
    </row>
    <row r="1080" spans="1:3">
      <c r="A1080" s="481"/>
      <c r="B1080" s="481"/>
      <c r="C1080" s="485"/>
    </row>
    <row r="1081" spans="1:3">
      <c r="A1081" s="481"/>
      <c r="B1081" s="481"/>
      <c r="C1081" s="485"/>
    </row>
    <row r="1082" spans="1:3">
      <c r="A1082" s="481"/>
      <c r="B1082" s="481"/>
      <c r="C1082" s="485"/>
    </row>
    <row r="1083" spans="1:3">
      <c r="A1083" s="481"/>
      <c r="B1083" s="481"/>
      <c r="C1083" s="485"/>
    </row>
    <row r="1084" spans="1:3">
      <c r="A1084" s="481"/>
      <c r="B1084" s="481"/>
      <c r="C1084" s="485"/>
    </row>
    <row r="1085" spans="1:3">
      <c r="A1085" s="481"/>
      <c r="B1085" s="481"/>
      <c r="C1085" s="485"/>
    </row>
    <row r="1086" spans="1:3">
      <c r="A1086" s="481"/>
      <c r="B1086" s="481"/>
      <c r="C1086" s="485"/>
    </row>
    <row r="1087" spans="1:3">
      <c r="A1087" s="481"/>
      <c r="B1087" s="481"/>
      <c r="C1087" s="485"/>
    </row>
    <row r="1088" spans="1:3">
      <c r="A1088" s="481"/>
      <c r="B1088" s="481"/>
      <c r="C1088" s="485"/>
    </row>
    <row r="1089" spans="1:3">
      <c r="A1089" s="481"/>
      <c r="B1089" s="481"/>
      <c r="C1089" s="485"/>
    </row>
    <row r="1090" spans="1:3">
      <c r="A1090" s="481"/>
      <c r="B1090" s="481"/>
      <c r="C1090" s="485"/>
    </row>
    <row r="1091" spans="1:3">
      <c r="A1091" s="481"/>
      <c r="B1091" s="481"/>
      <c r="C1091" s="485"/>
    </row>
    <row r="1092" spans="1:3">
      <c r="A1092" s="481"/>
      <c r="B1092" s="481"/>
      <c r="C1092" s="485"/>
    </row>
    <row r="1093" spans="1:3">
      <c r="A1093" s="481"/>
      <c r="B1093" s="481"/>
      <c r="C1093" s="485"/>
    </row>
    <row r="1094" spans="1:3">
      <c r="A1094" s="481"/>
      <c r="B1094" s="481"/>
      <c r="C1094" s="485"/>
    </row>
    <row r="1095" spans="1:3">
      <c r="A1095" s="481"/>
      <c r="B1095" s="481"/>
      <c r="C1095" s="485"/>
    </row>
    <row r="1096" spans="1:3">
      <c r="A1096" s="481"/>
      <c r="B1096" s="481"/>
      <c r="C1096" s="485"/>
    </row>
    <row r="1097" spans="1:3">
      <c r="A1097" s="481"/>
      <c r="B1097" s="481"/>
      <c r="C1097" s="485"/>
    </row>
    <row r="1098" spans="1:3">
      <c r="A1098" s="481"/>
      <c r="B1098" s="481"/>
      <c r="C1098" s="485"/>
    </row>
    <row r="1099" spans="1:3">
      <c r="A1099" s="481"/>
      <c r="B1099" s="481"/>
      <c r="C1099" s="485"/>
    </row>
    <row r="1100" spans="1:3">
      <c r="A1100" s="481"/>
      <c r="B1100" s="481"/>
      <c r="C1100" s="485"/>
    </row>
    <row r="1101" spans="1:3">
      <c r="A1101" s="481"/>
      <c r="B1101" s="481"/>
      <c r="C1101" s="485"/>
    </row>
    <row r="1102" spans="1:3">
      <c r="A1102" s="481"/>
      <c r="B1102" s="481"/>
      <c r="C1102" s="485"/>
    </row>
    <row r="1103" spans="1:3">
      <c r="A1103" s="481"/>
      <c r="B1103" s="481"/>
      <c r="C1103" s="485"/>
    </row>
    <row r="1104" spans="1:3">
      <c r="A1104" s="481"/>
      <c r="B1104" s="481"/>
      <c r="C1104" s="485"/>
    </row>
    <row r="1105" spans="1:3">
      <c r="A1105" s="481"/>
      <c r="B1105" s="481"/>
      <c r="C1105" s="485"/>
    </row>
    <row r="1106" spans="1:3">
      <c r="A1106" s="481"/>
      <c r="B1106" s="481"/>
      <c r="C1106" s="485"/>
    </row>
    <row r="1107" spans="1:3">
      <c r="A1107" s="481"/>
      <c r="B1107" s="481"/>
      <c r="C1107" s="485"/>
    </row>
    <row r="1108" spans="1:3">
      <c r="A1108" s="481"/>
      <c r="B1108" s="481"/>
      <c r="C1108" s="485"/>
    </row>
    <row r="1109" spans="1:3">
      <c r="A1109" s="481"/>
      <c r="B1109" s="481"/>
      <c r="C1109" s="485"/>
    </row>
    <row r="1110" spans="1:3">
      <c r="A1110" s="481"/>
      <c r="B1110" s="481"/>
      <c r="C1110" s="485"/>
    </row>
    <row r="1111" spans="1:3">
      <c r="A1111" s="481"/>
      <c r="B1111" s="481"/>
      <c r="C1111" s="485"/>
    </row>
    <row r="1112" spans="1:3">
      <c r="A1112" s="481"/>
      <c r="B1112" s="481"/>
      <c r="C1112" s="485"/>
    </row>
    <row r="1113" spans="1:3">
      <c r="A1113" s="481"/>
      <c r="B1113" s="481"/>
      <c r="C1113" s="485"/>
    </row>
    <row r="1114" spans="1:3">
      <c r="A1114" s="481"/>
      <c r="B1114" s="481"/>
      <c r="C1114" s="485"/>
    </row>
    <row r="1115" spans="1:3">
      <c r="A1115" s="481"/>
      <c r="B1115" s="481"/>
      <c r="C1115" s="485"/>
    </row>
    <row r="1116" spans="1:3">
      <c r="A1116" s="481"/>
      <c r="B1116" s="481"/>
      <c r="C1116" s="485"/>
    </row>
    <row r="1117" spans="1:3">
      <c r="A1117" s="481"/>
      <c r="B1117" s="481"/>
      <c r="C1117" s="485"/>
    </row>
    <row r="1118" spans="1:3">
      <c r="A1118" s="481"/>
      <c r="B1118" s="481"/>
      <c r="C1118" s="485"/>
    </row>
    <row r="1119" spans="1:3">
      <c r="A1119" s="481"/>
      <c r="B1119" s="481"/>
      <c r="C1119" s="485"/>
    </row>
    <row r="1120" spans="1:3">
      <c r="A1120" s="481"/>
      <c r="B1120" s="481"/>
      <c r="C1120" s="485"/>
    </row>
    <row r="1121" spans="1:3">
      <c r="A1121" s="481"/>
      <c r="B1121" s="481"/>
      <c r="C1121" s="485"/>
    </row>
    <row r="1122" spans="1:3">
      <c r="A1122" s="481"/>
      <c r="B1122" s="481"/>
      <c r="C1122" s="485"/>
    </row>
    <row r="1123" spans="1:3">
      <c r="A1123" s="481"/>
      <c r="B1123" s="481"/>
      <c r="C1123" s="485"/>
    </row>
    <row r="1124" spans="1:3">
      <c r="A1124" s="481"/>
      <c r="B1124" s="481"/>
      <c r="C1124" s="485"/>
    </row>
    <row r="1125" spans="1:3">
      <c r="A1125" s="481"/>
      <c r="B1125" s="481"/>
      <c r="C1125" s="485"/>
    </row>
    <row r="1126" spans="1:3">
      <c r="A1126" s="481"/>
      <c r="B1126" s="481"/>
      <c r="C1126" s="485"/>
    </row>
    <row r="1127" spans="1:3">
      <c r="A1127" s="481"/>
      <c r="B1127" s="481"/>
      <c r="C1127" s="485"/>
    </row>
    <row r="1128" spans="1:3">
      <c r="A1128" s="481"/>
      <c r="B1128" s="481"/>
      <c r="C1128" s="485"/>
    </row>
    <row r="1129" spans="1:3">
      <c r="A1129" s="481"/>
      <c r="B1129" s="481"/>
      <c r="C1129" s="485"/>
    </row>
    <row r="1130" spans="1:3">
      <c r="A1130" s="481"/>
      <c r="B1130" s="481"/>
      <c r="C1130" s="485"/>
    </row>
    <row r="1131" spans="1:3">
      <c r="A1131" s="481"/>
      <c r="B1131" s="481"/>
      <c r="C1131" s="485"/>
    </row>
    <row r="1132" spans="1:3">
      <c r="A1132" s="481"/>
      <c r="B1132" s="481"/>
      <c r="C1132" s="485"/>
    </row>
    <row r="1133" spans="1:3">
      <c r="A1133" s="481"/>
      <c r="B1133" s="481"/>
      <c r="C1133" s="485"/>
    </row>
    <row r="1134" spans="1:3">
      <c r="A1134" s="481"/>
      <c r="B1134" s="481"/>
      <c r="C1134" s="485"/>
    </row>
    <row r="1135" spans="1:3">
      <c r="A1135" s="481"/>
      <c r="B1135" s="481"/>
      <c r="C1135" s="485"/>
    </row>
    <row r="1136" spans="1:3">
      <c r="A1136" s="481"/>
      <c r="B1136" s="481"/>
      <c r="C1136" s="485"/>
    </row>
    <row r="1137" spans="1:3">
      <c r="A1137" s="481"/>
      <c r="B1137" s="481"/>
      <c r="C1137" s="485"/>
    </row>
    <row r="1138" spans="1:3">
      <c r="A1138" s="481"/>
      <c r="B1138" s="481"/>
      <c r="C1138" s="485"/>
    </row>
    <row r="1139" spans="1:3">
      <c r="A1139" s="481"/>
      <c r="B1139" s="481"/>
      <c r="C1139" s="485"/>
    </row>
    <row r="1140" spans="1:3">
      <c r="A1140" s="481"/>
      <c r="B1140" s="481"/>
      <c r="C1140" s="485"/>
    </row>
    <row r="1141" spans="1:3">
      <c r="A1141" s="481"/>
      <c r="B1141" s="481"/>
      <c r="C1141" s="485"/>
    </row>
    <row r="1142" spans="1:3">
      <c r="A1142" s="481"/>
      <c r="B1142" s="481"/>
      <c r="C1142" s="485"/>
    </row>
    <row r="1143" spans="1:3">
      <c r="A1143" s="481"/>
      <c r="B1143" s="481"/>
      <c r="C1143" s="485"/>
    </row>
    <row r="1144" spans="1:3">
      <c r="A1144" s="481"/>
      <c r="B1144" s="481"/>
      <c r="C1144" s="485"/>
    </row>
    <row r="1145" spans="1:3">
      <c r="A1145" s="481"/>
      <c r="B1145" s="481"/>
      <c r="C1145" s="485"/>
    </row>
    <row r="1146" spans="1:3">
      <c r="A1146" s="481"/>
      <c r="B1146" s="481"/>
      <c r="C1146" s="485"/>
    </row>
    <row r="1147" spans="1:3">
      <c r="A1147" s="481"/>
      <c r="B1147" s="481"/>
      <c r="C1147" s="485"/>
    </row>
    <row r="1148" spans="1:3">
      <c r="A1148" s="481"/>
      <c r="B1148" s="481"/>
      <c r="C1148" s="485"/>
    </row>
    <row r="1149" spans="1:3">
      <c r="A1149" s="481"/>
      <c r="B1149" s="481"/>
      <c r="C1149" s="485"/>
    </row>
    <row r="1150" spans="1:3">
      <c r="A1150" s="481"/>
      <c r="B1150" s="481"/>
      <c r="C1150" s="485"/>
    </row>
    <row r="1151" spans="1:3">
      <c r="A1151" s="481"/>
      <c r="B1151" s="481"/>
      <c r="C1151" s="485"/>
    </row>
    <row r="1152" spans="1:3">
      <c r="A1152" s="481"/>
      <c r="B1152" s="481"/>
      <c r="C1152" s="485"/>
    </row>
    <row r="1153" spans="1:3">
      <c r="A1153" s="481"/>
      <c r="B1153" s="481"/>
      <c r="C1153" s="485"/>
    </row>
    <row r="1154" spans="1:3">
      <c r="A1154" s="481"/>
      <c r="B1154" s="481"/>
      <c r="C1154" s="485"/>
    </row>
    <row r="1155" spans="1:3">
      <c r="A1155" s="481"/>
      <c r="B1155" s="481"/>
      <c r="C1155" s="485"/>
    </row>
    <row r="1156" spans="1:3">
      <c r="A1156" s="481"/>
      <c r="B1156" s="481"/>
      <c r="C1156" s="485"/>
    </row>
    <row r="1157" spans="1:3">
      <c r="A1157" s="481"/>
      <c r="B1157" s="481"/>
      <c r="C1157" s="485"/>
    </row>
    <row r="1158" spans="1:3">
      <c r="A1158" s="481"/>
      <c r="B1158" s="481"/>
      <c r="C1158" s="485"/>
    </row>
    <row r="1159" spans="1:3">
      <c r="A1159" s="481"/>
      <c r="B1159" s="481"/>
      <c r="C1159" s="485"/>
    </row>
    <row r="1160" spans="1:3">
      <c r="A1160" s="481"/>
      <c r="B1160" s="481"/>
      <c r="C1160" s="485"/>
    </row>
    <row r="1161" spans="1:3">
      <c r="A1161" s="481"/>
      <c r="B1161" s="481"/>
      <c r="C1161" s="485"/>
    </row>
    <row r="1162" spans="1:3">
      <c r="A1162" s="481"/>
      <c r="B1162" s="481"/>
      <c r="C1162" s="485"/>
    </row>
    <row r="1163" spans="1:3">
      <c r="A1163" s="481"/>
      <c r="B1163" s="481"/>
      <c r="C1163" s="485"/>
    </row>
    <row r="1164" spans="1:3">
      <c r="A1164" s="481"/>
      <c r="B1164" s="481"/>
      <c r="C1164" s="485"/>
    </row>
    <row r="1165" spans="1:3">
      <c r="A1165" s="481"/>
      <c r="B1165" s="481"/>
      <c r="C1165" s="485"/>
    </row>
    <row r="1166" spans="1:3">
      <c r="A1166" s="481"/>
      <c r="B1166" s="481"/>
      <c r="C1166" s="485"/>
    </row>
    <row r="1167" spans="1:3">
      <c r="A1167" s="481"/>
      <c r="B1167" s="481"/>
      <c r="C1167" s="485"/>
    </row>
    <row r="1168" spans="1:3">
      <c r="A1168" s="481"/>
      <c r="B1168" s="481"/>
      <c r="C1168" s="485"/>
    </row>
    <row r="1169" spans="1:3">
      <c r="A1169" s="481"/>
      <c r="B1169" s="481"/>
      <c r="C1169" s="485"/>
    </row>
    <row r="1170" spans="1:3">
      <c r="A1170" s="481"/>
      <c r="B1170" s="481"/>
      <c r="C1170" s="485"/>
    </row>
    <row r="1171" spans="1:3">
      <c r="A1171" s="481"/>
      <c r="B1171" s="481"/>
      <c r="C1171" s="485"/>
    </row>
    <row r="1172" spans="1:3">
      <c r="A1172" s="481"/>
      <c r="B1172" s="481"/>
      <c r="C1172" s="485"/>
    </row>
    <row r="1173" spans="1:3">
      <c r="A1173" s="481"/>
      <c r="B1173" s="481"/>
      <c r="C1173" s="485"/>
    </row>
    <row r="1174" spans="1:3">
      <c r="A1174" s="481"/>
      <c r="B1174" s="481"/>
      <c r="C1174" s="485"/>
    </row>
    <row r="1175" spans="1:3">
      <c r="A1175" s="481"/>
      <c r="B1175" s="481"/>
      <c r="C1175" s="485"/>
    </row>
    <row r="1176" spans="1:3">
      <c r="A1176" s="481"/>
      <c r="B1176" s="481"/>
      <c r="C1176" s="485"/>
    </row>
    <row r="1177" spans="1:3">
      <c r="A1177" s="481"/>
      <c r="B1177" s="481"/>
      <c r="C1177" s="485"/>
    </row>
    <row r="1178" spans="1:3">
      <c r="A1178" s="481"/>
      <c r="B1178" s="481"/>
      <c r="C1178" s="485"/>
    </row>
    <row r="1179" spans="1:3">
      <c r="A1179" s="481"/>
      <c r="B1179" s="481"/>
      <c r="C1179" s="485"/>
    </row>
    <row r="1180" spans="1:3">
      <c r="A1180" s="481"/>
      <c r="B1180" s="481"/>
      <c r="C1180" s="485"/>
    </row>
    <row r="1181" spans="1:3">
      <c r="A1181" s="481"/>
      <c r="B1181" s="481"/>
      <c r="C1181" s="485"/>
    </row>
    <row r="1182" spans="1:3">
      <c r="A1182" s="481"/>
      <c r="B1182" s="481"/>
      <c r="C1182" s="485"/>
    </row>
    <row r="1183" spans="1:3">
      <c r="A1183" s="481"/>
      <c r="B1183" s="481"/>
      <c r="C1183" s="485"/>
    </row>
    <row r="1184" spans="1:3">
      <c r="A1184" s="481"/>
      <c r="B1184" s="481"/>
      <c r="C1184" s="485"/>
    </row>
    <row r="1185" spans="1:3">
      <c r="A1185" s="481"/>
      <c r="B1185" s="481"/>
      <c r="C1185" s="485"/>
    </row>
    <row r="1186" spans="1:3">
      <c r="A1186" s="481"/>
      <c r="B1186" s="481"/>
      <c r="C1186" s="485"/>
    </row>
    <row r="1187" spans="1:3">
      <c r="A1187" s="481"/>
      <c r="B1187" s="481"/>
      <c r="C1187" s="485"/>
    </row>
    <row r="1188" spans="1:3">
      <c r="A1188" s="481"/>
      <c r="B1188" s="481"/>
      <c r="C1188" s="485"/>
    </row>
    <row r="1189" spans="1:3">
      <c r="A1189" s="481"/>
      <c r="B1189" s="481"/>
      <c r="C1189" s="485"/>
    </row>
    <row r="1190" spans="1:3">
      <c r="A1190" s="481"/>
      <c r="B1190" s="481"/>
      <c r="C1190" s="485"/>
    </row>
    <row r="1191" spans="1:3">
      <c r="A1191" s="481"/>
      <c r="B1191" s="481"/>
      <c r="C1191" s="485"/>
    </row>
    <row r="1192" spans="1:3">
      <c r="A1192" s="481"/>
      <c r="B1192" s="481"/>
      <c r="C1192" s="485"/>
    </row>
    <row r="1193" spans="1:3">
      <c r="A1193" s="481"/>
      <c r="B1193" s="481"/>
      <c r="C1193" s="485"/>
    </row>
    <row r="1194" spans="1:3">
      <c r="A1194" s="481"/>
      <c r="B1194" s="481"/>
      <c r="C1194" s="485"/>
    </row>
    <row r="1195" spans="1:3">
      <c r="A1195" s="481"/>
      <c r="B1195" s="481"/>
      <c r="C1195" s="485"/>
    </row>
    <row r="1196" spans="1:3">
      <c r="A1196" s="481"/>
      <c r="B1196" s="481"/>
      <c r="C1196" s="485"/>
    </row>
    <row r="1197" spans="1:3">
      <c r="A1197" s="481"/>
      <c r="B1197" s="481"/>
      <c r="C1197" s="485"/>
    </row>
    <row r="1198" spans="1:3">
      <c r="A1198" s="481"/>
      <c r="B1198" s="481"/>
      <c r="C1198" s="485"/>
    </row>
    <row r="1199" spans="1:3">
      <c r="A1199" s="481"/>
      <c r="B1199" s="481"/>
      <c r="C1199" s="485"/>
    </row>
    <row r="1200" spans="1:3">
      <c r="A1200" s="481"/>
      <c r="B1200" s="481"/>
      <c r="C1200" s="485"/>
    </row>
    <row r="1201" spans="1:3">
      <c r="A1201" s="481"/>
      <c r="B1201" s="481"/>
      <c r="C1201" s="485"/>
    </row>
    <row r="1202" spans="1:3">
      <c r="A1202" s="481"/>
      <c r="B1202" s="481"/>
      <c r="C1202" s="485"/>
    </row>
    <row r="1203" spans="1:3">
      <c r="A1203" s="481"/>
      <c r="B1203" s="481"/>
      <c r="C1203" s="485"/>
    </row>
    <row r="1204" spans="1:3">
      <c r="A1204" s="481"/>
      <c r="B1204" s="481"/>
      <c r="C1204" s="485"/>
    </row>
    <row r="1205" spans="1:3">
      <c r="A1205" s="481"/>
      <c r="B1205" s="481"/>
      <c r="C1205" s="485"/>
    </row>
    <row r="1206" spans="1:3">
      <c r="A1206" s="481"/>
      <c r="B1206" s="481"/>
      <c r="C1206" s="485"/>
    </row>
    <row r="1207" spans="1:3">
      <c r="A1207" s="481"/>
      <c r="B1207" s="481"/>
      <c r="C1207" s="485"/>
    </row>
    <row r="1208" spans="1:3">
      <c r="A1208" s="481"/>
      <c r="B1208" s="481"/>
      <c r="C1208" s="485"/>
    </row>
    <row r="1209" spans="1:3">
      <c r="A1209" s="481"/>
      <c r="B1209" s="481"/>
      <c r="C1209" s="485"/>
    </row>
    <row r="1210" spans="1:3">
      <c r="A1210" s="481"/>
      <c r="B1210" s="481"/>
      <c r="C1210" s="485"/>
    </row>
    <row r="1211" spans="1:3">
      <c r="A1211" s="481"/>
      <c r="B1211" s="481"/>
      <c r="C1211" s="485"/>
    </row>
    <row r="1212" spans="1:3">
      <c r="A1212" s="481"/>
      <c r="B1212" s="481"/>
      <c r="C1212" s="485"/>
    </row>
    <row r="1213" spans="1:3">
      <c r="A1213" s="481"/>
      <c r="B1213" s="481"/>
      <c r="C1213" s="485"/>
    </row>
    <row r="1214" spans="1:3">
      <c r="A1214" s="481"/>
      <c r="B1214" s="481"/>
      <c r="C1214" s="485"/>
    </row>
    <row r="1215" spans="1:3">
      <c r="A1215" s="481"/>
      <c r="B1215" s="481"/>
      <c r="C1215" s="485"/>
    </row>
    <row r="1216" spans="1:3">
      <c r="A1216" s="481"/>
      <c r="B1216" s="481"/>
      <c r="C1216" s="485"/>
    </row>
    <row r="1217" spans="1:3">
      <c r="A1217" s="481"/>
      <c r="B1217" s="481"/>
      <c r="C1217" s="485"/>
    </row>
    <row r="1218" spans="1:3">
      <c r="A1218" s="481"/>
      <c r="B1218" s="481"/>
      <c r="C1218" s="485"/>
    </row>
    <row r="1219" spans="1:3">
      <c r="A1219" s="481"/>
      <c r="B1219" s="481"/>
      <c r="C1219" s="485"/>
    </row>
    <row r="1220" spans="1:3">
      <c r="A1220" s="481"/>
      <c r="B1220" s="481"/>
      <c r="C1220" s="485"/>
    </row>
    <row r="1221" spans="1:3">
      <c r="A1221" s="481"/>
      <c r="B1221" s="481"/>
      <c r="C1221" s="485"/>
    </row>
    <row r="1222" spans="1:3">
      <c r="A1222" s="481"/>
      <c r="B1222" s="481"/>
      <c r="C1222" s="485"/>
    </row>
    <row r="1223" spans="1:3">
      <c r="A1223" s="481"/>
      <c r="B1223" s="481"/>
      <c r="C1223" s="485"/>
    </row>
    <row r="1224" spans="1:3">
      <c r="A1224" s="481"/>
      <c r="B1224" s="481"/>
      <c r="C1224" s="485"/>
    </row>
    <row r="1225" spans="1:3">
      <c r="A1225" s="481"/>
      <c r="B1225" s="481"/>
      <c r="C1225" s="485"/>
    </row>
    <row r="1226" spans="1:3">
      <c r="A1226" s="481"/>
      <c r="B1226" s="481"/>
      <c r="C1226" s="485"/>
    </row>
    <row r="1227" spans="1:3">
      <c r="A1227" s="481"/>
      <c r="B1227" s="481"/>
      <c r="C1227" s="485"/>
    </row>
    <row r="1228" spans="1:3">
      <c r="A1228" s="481"/>
      <c r="B1228" s="481"/>
      <c r="C1228" s="485"/>
    </row>
    <row r="1229" spans="1:3">
      <c r="A1229" s="481"/>
      <c r="B1229" s="481"/>
      <c r="C1229" s="485"/>
    </row>
    <row r="1230" spans="1:3">
      <c r="A1230" s="481"/>
      <c r="B1230" s="481"/>
      <c r="C1230" s="485"/>
    </row>
    <row r="1231" spans="1:3">
      <c r="A1231" s="481"/>
      <c r="B1231" s="481"/>
      <c r="C1231" s="485"/>
    </row>
    <row r="1232" spans="1:3">
      <c r="A1232" s="481"/>
      <c r="B1232" s="481"/>
      <c r="C1232" s="485"/>
    </row>
    <row r="1233" spans="1:3">
      <c r="A1233" s="481"/>
      <c r="B1233" s="481"/>
      <c r="C1233" s="485"/>
    </row>
    <row r="1234" spans="1:3">
      <c r="A1234" s="481"/>
      <c r="B1234" s="481"/>
      <c r="C1234" s="485"/>
    </row>
    <row r="1235" spans="1:3">
      <c r="A1235" s="481"/>
      <c r="B1235" s="481"/>
      <c r="C1235" s="485"/>
    </row>
    <row r="1236" spans="1:3">
      <c r="A1236" s="481"/>
      <c r="B1236" s="481"/>
      <c r="C1236" s="485"/>
    </row>
    <row r="1237" spans="1:3">
      <c r="A1237" s="481"/>
      <c r="B1237" s="481"/>
      <c r="C1237" s="485"/>
    </row>
    <row r="1238" spans="1:3">
      <c r="A1238" s="481"/>
      <c r="B1238" s="481"/>
      <c r="C1238" s="485"/>
    </row>
    <row r="1239" spans="1:3">
      <c r="A1239" s="481"/>
      <c r="B1239" s="481"/>
      <c r="C1239" s="485"/>
    </row>
    <row r="1240" spans="1:3">
      <c r="A1240" s="481"/>
      <c r="B1240" s="481"/>
      <c r="C1240" s="485"/>
    </row>
    <row r="1241" spans="1:3">
      <c r="A1241" s="481"/>
      <c r="B1241" s="481"/>
      <c r="C1241" s="485"/>
    </row>
    <row r="1242" spans="1:3">
      <c r="A1242" s="481"/>
      <c r="B1242" s="481"/>
      <c r="C1242" s="485"/>
    </row>
    <row r="1243" spans="1:3">
      <c r="A1243" s="481"/>
      <c r="B1243" s="481"/>
      <c r="C1243" s="485"/>
    </row>
    <row r="1244" spans="1:3">
      <c r="A1244" s="481"/>
      <c r="B1244" s="481"/>
      <c r="C1244" s="485"/>
    </row>
    <row r="1245" spans="1:3">
      <c r="A1245" s="481"/>
      <c r="B1245" s="481"/>
      <c r="C1245" s="485"/>
    </row>
    <row r="1246" spans="1:3">
      <c r="A1246" s="481"/>
      <c r="B1246" s="481"/>
      <c r="C1246" s="485"/>
    </row>
    <row r="1247" spans="1:3">
      <c r="A1247" s="481"/>
      <c r="B1247" s="481"/>
      <c r="C1247" s="485"/>
    </row>
    <row r="1248" spans="1:3">
      <c r="A1248" s="481"/>
      <c r="B1248" s="481"/>
      <c r="C1248" s="485"/>
    </row>
    <row r="1249" spans="1:3">
      <c r="A1249" s="481"/>
      <c r="B1249" s="481"/>
      <c r="C1249" s="485"/>
    </row>
    <row r="1250" spans="1:3">
      <c r="A1250" s="481"/>
      <c r="B1250" s="481"/>
      <c r="C1250" s="485"/>
    </row>
    <row r="1251" spans="1:3">
      <c r="A1251" s="481"/>
      <c r="B1251" s="481"/>
      <c r="C1251" s="485"/>
    </row>
    <row r="1252" spans="1:3">
      <c r="A1252" s="481"/>
      <c r="B1252" s="481"/>
      <c r="C1252" s="485"/>
    </row>
    <row r="1253" spans="1:3">
      <c r="A1253" s="481"/>
      <c r="B1253" s="481"/>
      <c r="C1253" s="485"/>
    </row>
    <row r="1254" spans="1:3">
      <c r="A1254" s="481"/>
      <c r="B1254" s="481"/>
      <c r="C1254" s="485"/>
    </row>
    <row r="1255" spans="1:3">
      <c r="A1255" s="481"/>
      <c r="B1255" s="481"/>
      <c r="C1255" s="485"/>
    </row>
    <row r="1256" spans="1:3">
      <c r="A1256" s="481"/>
      <c r="B1256" s="481"/>
      <c r="C1256" s="485"/>
    </row>
    <row r="1257" spans="1:3">
      <c r="A1257" s="481"/>
      <c r="B1257" s="481"/>
      <c r="C1257" s="485"/>
    </row>
    <row r="1258" spans="1:3">
      <c r="A1258" s="481"/>
      <c r="B1258" s="481"/>
      <c r="C1258" s="485"/>
    </row>
    <row r="1259" spans="1:3">
      <c r="A1259" s="481"/>
      <c r="B1259" s="481"/>
      <c r="C1259" s="485"/>
    </row>
    <row r="1260" spans="1:3">
      <c r="A1260" s="481"/>
      <c r="B1260" s="481"/>
      <c r="C1260" s="485"/>
    </row>
    <row r="1261" spans="1:3">
      <c r="A1261" s="481"/>
      <c r="B1261" s="481"/>
      <c r="C1261" s="485"/>
    </row>
    <row r="1262" spans="1:3">
      <c r="A1262" s="481"/>
      <c r="B1262" s="481"/>
      <c r="C1262" s="485"/>
    </row>
    <row r="1263" spans="1:3">
      <c r="A1263" s="481"/>
      <c r="B1263" s="481"/>
      <c r="C1263" s="485"/>
    </row>
    <row r="1264" spans="1:3">
      <c r="A1264" s="481"/>
      <c r="B1264" s="481"/>
      <c r="C1264" s="485"/>
    </row>
    <row r="1265" spans="1:3">
      <c r="A1265" s="481"/>
      <c r="B1265" s="481"/>
      <c r="C1265" s="485"/>
    </row>
    <row r="1266" spans="1:3">
      <c r="A1266" s="481"/>
      <c r="B1266" s="481"/>
      <c r="C1266" s="485"/>
    </row>
    <row r="1267" spans="1:3">
      <c r="A1267" s="481"/>
      <c r="B1267" s="481"/>
      <c r="C1267" s="485"/>
    </row>
    <row r="1268" spans="1:3">
      <c r="A1268" s="481"/>
      <c r="B1268" s="481"/>
      <c r="C1268" s="485"/>
    </row>
    <row r="1269" spans="1:3">
      <c r="A1269" s="481"/>
      <c r="B1269" s="481"/>
      <c r="C1269" s="485"/>
    </row>
    <row r="1270" spans="1:3">
      <c r="A1270" s="481"/>
      <c r="B1270" s="481"/>
      <c r="C1270" s="485"/>
    </row>
    <row r="1271" spans="1:3">
      <c r="A1271" s="481"/>
      <c r="B1271" s="481"/>
      <c r="C1271" s="485"/>
    </row>
    <row r="1272" spans="1:3">
      <c r="A1272" s="481"/>
      <c r="B1272" s="481"/>
      <c r="C1272" s="485"/>
    </row>
    <row r="1273" spans="1:3">
      <c r="A1273" s="481"/>
      <c r="B1273" s="481"/>
      <c r="C1273" s="485"/>
    </row>
    <row r="1274" spans="1:3">
      <c r="A1274" s="481"/>
      <c r="B1274" s="481"/>
      <c r="C1274" s="485"/>
    </row>
    <row r="1275" spans="1:3">
      <c r="A1275" s="481"/>
      <c r="B1275" s="481"/>
      <c r="C1275" s="485"/>
    </row>
    <row r="1276" spans="1:3">
      <c r="A1276" s="481"/>
      <c r="B1276" s="481"/>
      <c r="C1276" s="485"/>
    </row>
    <row r="1277" spans="1:3">
      <c r="A1277" s="481"/>
      <c r="B1277" s="481"/>
      <c r="C1277" s="485"/>
    </row>
    <row r="1278" spans="1:3">
      <c r="A1278" s="481"/>
      <c r="B1278" s="481"/>
      <c r="C1278" s="485"/>
    </row>
    <row r="1279" spans="1:3">
      <c r="A1279" s="481"/>
      <c r="B1279" s="481"/>
      <c r="C1279" s="485"/>
    </row>
    <row r="1280" spans="1:3">
      <c r="A1280" s="481"/>
      <c r="B1280" s="481"/>
      <c r="C1280" s="485"/>
    </row>
    <row r="1281" spans="1:3">
      <c r="A1281" s="481"/>
      <c r="B1281" s="481"/>
      <c r="C1281" s="485"/>
    </row>
    <row r="1282" spans="1:3">
      <c r="A1282" s="481"/>
      <c r="B1282" s="481"/>
      <c r="C1282" s="485"/>
    </row>
    <row r="1283" spans="1:3">
      <c r="A1283" s="481"/>
      <c r="B1283" s="481"/>
      <c r="C1283" s="485"/>
    </row>
    <row r="1284" spans="1:3">
      <c r="A1284" s="481"/>
      <c r="B1284" s="481"/>
      <c r="C1284" s="485"/>
    </row>
    <row r="1285" spans="1:3">
      <c r="A1285" s="481"/>
      <c r="B1285" s="481"/>
      <c r="C1285" s="485"/>
    </row>
    <row r="1286" spans="1:3">
      <c r="A1286" s="481"/>
      <c r="B1286" s="481"/>
      <c r="C1286" s="485"/>
    </row>
    <row r="1287" spans="1:3">
      <c r="A1287" s="481"/>
      <c r="B1287" s="481"/>
      <c r="C1287" s="485"/>
    </row>
    <row r="1288" spans="1:3">
      <c r="A1288" s="481"/>
      <c r="B1288" s="481"/>
      <c r="C1288" s="485"/>
    </row>
    <row r="1289" spans="1:3">
      <c r="A1289" s="481"/>
      <c r="B1289" s="481"/>
      <c r="C1289" s="485"/>
    </row>
    <row r="1290" spans="1:3">
      <c r="A1290" s="481"/>
      <c r="B1290" s="481"/>
      <c r="C1290" s="485"/>
    </row>
    <row r="1291" spans="1:3">
      <c r="A1291" s="481"/>
      <c r="B1291" s="481"/>
      <c r="C1291" s="485"/>
    </row>
    <row r="1292" spans="1:3">
      <c r="A1292" s="481"/>
      <c r="B1292" s="481"/>
      <c r="C1292" s="485"/>
    </row>
    <row r="1293" spans="1:3">
      <c r="A1293" s="481"/>
      <c r="B1293" s="481"/>
      <c r="C1293" s="485"/>
    </row>
    <row r="1294" spans="1:3">
      <c r="A1294" s="481"/>
      <c r="B1294" s="481"/>
      <c r="C1294" s="485"/>
    </row>
    <row r="1295" spans="1:3">
      <c r="A1295" s="481"/>
      <c r="B1295" s="481"/>
      <c r="C1295" s="485"/>
    </row>
    <row r="1296" spans="1:3">
      <c r="A1296" s="481"/>
      <c r="B1296" s="481"/>
      <c r="C1296" s="485"/>
    </row>
    <row r="1297" spans="1:3">
      <c r="A1297" s="481"/>
      <c r="B1297" s="481"/>
      <c r="C1297" s="485"/>
    </row>
    <row r="1298" spans="1:3">
      <c r="A1298" s="481"/>
      <c r="B1298" s="481"/>
      <c r="C1298" s="485"/>
    </row>
    <row r="1299" spans="1:3">
      <c r="A1299" s="481"/>
      <c r="B1299" s="481"/>
      <c r="C1299" s="485"/>
    </row>
    <row r="1300" spans="1:3">
      <c r="A1300" s="481"/>
      <c r="B1300" s="481"/>
      <c r="C1300" s="485"/>
    </row>
    <row r="1301" spans="1:3">
      <c r="A1301" s="481"/>
      <c r="B1301" s="481"/>
      <c r="C1301" s="485"/>
    </row>
    <row r="1302" spans="1:3">
      <c r="A1302" s="481"/>
      <c r="B1302" s="481"/>
      <c r="C1302" s="485"/>
    </row>
    <row r="1303" spans="1:3">
      <c r="A1303" s="481"/>
      <c r="B1303" s="481"/>
      <c r="C1303" s="485"/>
    </row>
    <row r="1304" spans="1:3">
      <c r="A1304" s="481"/>
      <c r="B1304" s="481"/>
      <c r="C1304" s="485"/>
    </row>
    <row r="1305" spans="1:3">
      <c r="A1305" s="481"/>
      <c r="B1305" s="481"/>
      <c r="C1305" s="485"/>
    </row>
    <row r="1306" spans="1:3">
      <c r="A1306" s="481"/>
      <c r="B1306" s="481"/>
      <c r="C1306" s="485"/>
    </row>
    <row r="1307" spans="1:3">
      <c r="A1307" s="481"/>
      <c r="B1307" s="481"/>
      <c r="C1307" s="485"/>
    </row>
    <row r="1308" spans="1:3">
      <c r="A1308" s="481"/>
      <c r="B1308" s="481"/>
      <c r="C1308" s="485"/>
    </row>
    <row r="1309" spans="1:3">
      <c r="A1309" s="481"/>
      <c r="B1309" s="481"/>
      <c r="C1309" s="485"/>
    </row>
    <row r="1310" spans="1:3">
      <c r="A1310" s="481"/>
      <c r="B1310" s="481"/>
      <c r="C1310" s="485"/>
    </row>
    <row r="1311" spans="1:3">
      <c r="A1311" s="481"/>
      <c r="B1311" s="481"/>
      <c r="C1311" s="485"/>
    </row>
    <row r="1312" spans="1:3">
      <c r="A1312" s="481"/>
      <c r="B1312" s="481"/>
      <c r="C1312" s="485"/>
    </row>
    <row r="1313" spans="1:3">
      <c r="A1313" s="481"/>
      <c r="B1313" s="481"/>
      <c r="C1313" s="485"/>
    </row>
    <row r="1314" spans="1:3">
      <c r="A1314" s="481"/>
      <c r="B1314" s="481"/>
      <c r="C1314" s="485"/>
    </row>
    <row r="1315" spans="1:3">
      <c r="A1315" s="481"/>
      <c r="B1315" s="481"/>
      <c r="C1315" s="485"/>
    </row>
    <row r="1316" spans="1:3">
      <c r="A1316" s="481"/>
      <c r="B1316" s="481"/>
      <c r="C1316" s="485"/>
    </row>
    <row r="1317" spans="1:3">
      <c r="A1317" s="481"/>
      <c r="B1317" s="481"/>
      <c r="C1317" s="485"/>
    </row>
    <row r="1318" spans="1:3">
      <c r="A1318" s="481"/>
      <c r="B1318" s="481"/>
      <c r="C1318" s="485"/>
    </row>
    <row r="1319" spans="1:3">
      <c r="A1319" s="481"/>
      <c r="B1319" s="481"/>
      <c r="C1319" s="485"/>
    </row>
    <row r="1320" spans="1:3">
      <c r="A1320" s="481"/>
      <c r="B1320" s="481"/>
      <c r="C1320" s="485"/>
    </row>
    <row r="1321" spans="1:3">
      <c r="A1321" s="481"/>
      <c r="B1321" s="481"/>
      <c r="C1321" s="485"/>
    </row>
    <row r="1322" spans="1:3">
      <c r="A1322" s="481"/>
      <c r="B1322" s="481"/>
      <c r="C1322" s="485"/>
    </row>
    <row r="1323" spans="1:3">
      <c r="A1323" s="481"/>
      <c r="B1323" s="481"/>
      <c r="C1323" s="485"/>
    </row>
    <row r="1324" spans="1:3">
      <c r="A1324" s="481"/>
      <c r="B1324" s="481"/>
      <c r="C1324" s="485"/>
    </row>
    <row r="1325" spans="1:3">
      <c r="A1325" s="481"/>
      <c r="B1325" s="481"/>
      <c r="C1325" s="485"/>
    </row>
    <row r="1326" spans="1:3">
      <c r="A1326" s="481"/>
      <c r="B1326" s="481"/>
      <c r="C1326" s="485"/>
    </row>
    <row r="1327" spans="1:3">
      <c r="A1327" s="481"/>
      <c r="B1327" s="481"/>
      <c r="C1327" s="485"/>
    </row>
    <row r="1328" spans="1:3">
      <c r="A1328" s="481"/>
      <c r="B1328" s="481"/>
      <c r="C1328" s="485"/>
    </row>
    <row r="1329" spans="1:3">
      <c r="A1329" s="481"/>
      <c r="B1329" s="481"/>
      <c r="C1329" s="485"/>
    </row>
    <row r="1330" spans="1:3">
      <c r="A1330" s="481"/>
      <c r="B1330" s="481"/>
      <c r="C1330" s="485"/>
    </row>
    <row r="1331" spans="1:3">
      <c r="A1331" s="481"/>
      <c r="B1331" s="481"/>
      <c r="C1331" s="485"/>
    </row>
    <row r="1332" spans="1:3">
      <c r="A1332" s="481"/>
      <c r="B1332" s="481"/>
      <c r="C1332" s="485"/>
    </row>
    <row r="1333" spans="1:3">
      <c r="A1333" s="481"/>
      <c r="B1333" s="481"/>
      <c r="C1333" s="485"/>
    </row>
    <row r="1334" spans="1:3">
      <c r="A1334" s="481"/>
      <c r="B1334" s="481"/>
      <c r="C1334" s="485"/>
    </row>
    <row r="1335" spans="1:3">
      <c r="A1335" s="481"/>
      <c r="B1335" s="481"/>
      <c r="C1335" s="485"/>
    </row>
    <row r="1336" spans="1:3">
      <c r="A1336" s="481"/>
      <c r="B1336" s="481"/>
      <c r="C1336" s="485"/>
    </row>
    <row r="1337" spans="1:3">
      <c r="A1337" s="481"/>
      <c r="B1337" s="481"/>
      <c r="C1337" s="485"/>
    </row>
    <row r="1338" spans="1:3">
      <c r="A1338" s="481"/>
      <c r="B1338" s="481"/>
      <c r="C1338" s="485"/>
    </row>
    <row r="1339" spans="1:3">
      <c r="A1339" s="481"/>
      <c r="B1339" s="481"/>
      <c r="C1339" s="485"/>
    </row>
    <row r="1340" spans="1:3">
      <c r="A1340" s="481"/>
      <c r="B1340" s="481"/>
      <c r="C1340" s="485"/>
    </row>
    <row r="1341" spans="1:3">
      <c r="A1341" s="481"/>
      <c r="B1341" s="481"/>
      <c r="C1341" s="485"/>
    </row>
    <row r="1342" spans="1:3">
      <c r="A1342" s="481"/>
      <c r="B1342" s="481"/>
      <c r="C1342" s="485"/>
    </row>
    <row r="1343" spans="1:3">
      <c r="A1343" s="481"/>
      <c r="B1343" s="481"/>
      <c r="C1343" s="485"/>
    </row>
    <row r="1344" spans="1:3">
      <c r="A1344" s="481"/>
      <c r="B1344" s="481"/>
      <c r="C1344" s="485"/>
    </row>
    <row r="1345" spans="1:3">
      <c r="A1345" s="481"/>
      <c r="B1345" s="481"/>
      <c r="C1345" s="485"/>
    </row>
    <row r="1346" spans="1:3">
      <c r="A1346" s="481"/>
      <c r="B1346" s="481"/>
      <c r="C1346" s="485"/>
    </row>
    <row r="1347" spans="1:3">
      <c r="A1347" s="481"/>
      <c r="B1347" s="481"/>
      <c r="C1347" s="485"/>
    </row>
    <row r="1348" spans="1:3">
      <c r="A1348" s="481"/>
      <c r="B1348" s="481"/>
      <c r="C1348" s="485"/>
    </row>
    <row r="1349" spans="1:3">
      <c r="A1349" s="481"/>
      <c r="B1349" s="481"/>
      <c r="C1349" s="485"/>
    </row>
    <row r="1350" spans="1:3">
      <c r="A1350" s="481"/>
      <c r="B1350" s="481"/>
      <c r="C1350" s="485"/>
    </row>
    <row r="1351" spans="1:3">
      <c r="A1351" s="481"/>
      <c r="B1351" s="481"/>
      <c r="C1351" s="485"/>
    </row>
    <row r="1352" spans="1:3">
      <c r="A1352" s="481"/>
      <c r="B1352" s="481"/>
      <c r="C1352" s="485"/>
    </row>
    <row r="1353" spans="1:3">
      <c r="A1353" s="481"/>
      <c r="B1353" s="481"/>
      <c r="C1353" s="485"/>
    </row>
    <row r="1354" spans="1:3">
      <c r="A1354" s="481"/>
      <c r="B1354" s="481"/>
      <c r="C1354" s="485"/>
    </row>
    <row r="1355" spans="1:3">
      <c r="A1355" s="481"/>
      <c r="B1355" s="481"/>
      <c r="C1355" s="485"/>
    </row>
    <row r="1356" spans="1:3">
      <c r="A1356" s="481"/>
      <c r="B1356" s="481"/>
      <c r="C1356" s="485"/>
    </row>
    <row r="1357" spans="1:3">
      <c r="A1357" s="481"/>
      <c r="B1357" s="481"/>
      <c r="C1357" s="485"/>
    </row>
    <row r="1358" spans="1:3">
      <c r="A1358" s="481"/>
      <c r="B1358" s="481"/>
      <c r="C1358" s="485"/>
    </row>
    <row r="1359" spans="1:3">
      <c r="A1359" s="481"/>
      <c r="B1359" s="481"/>
      <c r="C1359" s="485"/>
    </row>
    <row r="1360" spans="1:3">
      <c r="A1360" s="481"/>
      <c r="B1360" s="481"/>
      <c r="C1360" s="485"/>
    </row>
    <row r="1361" spans="1:3">
      <c r="A1361" s="481"/>
      <c r="B1361" s="481"/>
      <c r="C1361" s="485"/>
    </row>
    <row r="1362" spans="1:3">
      <c r="A1362" s="481"/>
      <c r="B1362" s="481"/>
      <c r="C1362" s="485"/>
    </row>
    <row r="1363" spans="1:3">
      <c r="A1363" s="481"/>
      <c r="B1363" s="481"/>
      <c r="C1363" s="485"/>
    </row>
    <row r="1364" spans="1:3">
      <c r="A1364" s="481"/>
      <c r="B1364" s="481"/>
      <c r="C1364" s="485"/>
    </row>
    <row r="1365" spans="1:3">
      <c r="A1365" s="481"/>
      <c r="B1365" s="481"/>
      <c r="C1365" s="485"/>
    </row>
    <row r="1366" spans="1:3">
      <c r="A1366" s="481"/>
      <c r="B1366" s="481"/>
      <c r="C1366" s="485"/>
    </row>
    <row r="1367" spans="1:3">
      <c r="A1367" s="481"/>
      <c r="B1367" s="481"/>
      <c r="C1367" s="485"/>
    </row>
    <row r="1368" spans="1:3">
      <c r="A1368" s="481"/>
      <c r="B1368" s="481"/>
      <c r="C1368" s="485"/>
    </row>
    <row r="1369" spans="1:3">
      <c r="A1369" s="481"/>
      <c r="B1369" s="481"/>
      <c r="C1369" s="485"/>
    </row>
    <row r="1370" spans="1:3">
      <c r="A1370" s="481"/>
      <c r="B1370" s="481"/>
      <c r="C1370" s="485"/>
    </row>
    <row r="1371" spans="1:3">
      <c r="A1371" s="481"/>
      <c r="B1371" s="481"/>
      <c r="C1371" s="485"/>
    </row>
    <row r="1372" spans="1:3">
      <c r="A1372" s="481"/>
      <c r="B1372" s="481"/>
      <c r="C1372" s="485"/>
    </row>
    <row r="1373" spans="1:3">
      <c r="A1373" s="481"/>
      <c r="B1373" s="481"/>
      <c r="C1373" s="485"/>
    </row>
    <row r="1374" spans="1:3">
      <c r="A1374" s="481"/>
      <c r="B1374" s="481"/>
      <c r="C1374" s="485"/>
    </row>
    <row r="1375" spans="1:3">
      <c r="A1375" s="481"/>
      <c r="B1375" s="481"/>
      <c r="C1375" s="485"/>
    </row>
    <row r="1376" spans="1:3">
      <c r="A1376" s="481"/>
      <c r="B1376" s="481"/>
      <c r="C1376" s="485"/>
    </row>
    <row r="1377" spans="1:3">
      <c r="A1377" s="481"/>
      <c r="B1377" s="481"/>
      <c r="C1377" s="485"/>
    </row>
    <row r="1378" spans="1:3">
      <c r="A1378" s="481"/>
      <c r="B1378" s="481"/>
      <c r="C1378" s="485"/>
    </row>
    <row r="1379" spans="1:3">
      <c r="A1379" s="481"/>
      <c r="B1379" s="481"/>
      <c r="C1379" s="485"/>
    </row>
    <row r="1380" spans="1:3">
      <c r="A1380" s="481"/>
      <c r="B1380" s="481"/>
      <c r="C1380" s="485"/>
    </row>
    <row r="1381" spans="1:3">
      <c r="A1381" s="481"/>
      <c r="B1381" s="481"/>
      <c r="C1381" s="485"/>
    </row>
    <row r="1382" spans="1:3">
      <c r="A1382" s="481"/>
      <c r="B1382" s="481"/>
      <c r="C1382" s="485"/>
    </row>
    <row r="1383" spans="1:3">
      <c r="A1383" s="481"/>
      <c r="B1383" s="481"/>
      <c r="C1383" s="485"/>
    </row>
    <row r="1384" spans="1:3">
      <c r="A1384" s="481"/>
      <c r="B1384" s="481"/>
      <c r="C1384" s="485"/>
    </row>
    <row r="1385" spans="1:3">
      <c r="A1385" s="481"/>
      <c r="B1385" s="481"/>
      <c r="C1385" s="485"/>
    </row>
    <row r="1386" spans="1:3">
      <c r="A1386" s="481"/>
      <c r="B1386" s="481"/>
      <c r="C1386" s="485"/>
    </row>
    <row r="1387" spans="1:3">
      <c r="A1387" s="481"/>
      <c r="B1387" s="481"/>
      <c r="C1387" s="485"/>
    </row>
    <row r="1388" spans="1:3">
      <c r="A1388" s="481"/>
      <c r="B1388" s="481"/>
      <c r="C1388" s="485"/>
    </row>
    <row r="1389" spans="1:3">
      <c r="A1389" s="481"/>
      <c r="B1389" s="481"/>
      <c r="C1389" s="485"/>
    </row>
    <row r="1390" spans="1:3">
      <c r="A1390" s="481"/>
      <c r="B1390" s="481"/>
      <c r="C1390" s="485"/>
    </row>
    <row r="1391" spans="1:3">
      <c r="A1391" s="481"/>
      <c r="B1391" s="481"/>
      <c r="C1391" s="485"/>
    </row>
    <row r="1392" spans="1:3">
      <c r="A1392" s="481"/>
      <c r="B1392" s="481"/>
      <c r="C1392" s="485"/>
    </row>
    <row r="1393" spans="1:3">
      <c r="A1393" s="481"/>
      <c r="B1393" s="481"/>
      <c r="C1393" s="485"/>
    </row>
    <row r="1394" spans="1:3">
      <c r="A1394" s="481"/>
      <c r="B1394" s="481"/>
      <c r="C1394" s="485"/>
    </row>
    <row r="1395" spans="1:3">
      <c r="A1395" s="481"/>
      <c r="B1395" s="481"/>
      <c r="C1395" s="485"/>
    </row>
    <row r="1396" spans="1:3">
      <c r="A1396" s="481"/>
      <c r="B1396" s="481"/>
      <c r="C1396" s="485"/>
    </row>
    <row r="1397" spans="1:3">
      <c r="A1397" s="481"/>
      <c r="B1397" s="481"/>
      <c r="C1397" s="485"/>
    </row>
    <row r="1398" spans="1:3">
      <c r="A1398" s="481"/>
      <c r="B1398" s="481"/>
      <c r="C1398" s="485"/>
    </row>
    <row r="1399" spans="1:3">
      <c r="A1399" s="481"/>
      <c r="B1399" s="481"/>
      <c r="C1399" s="485"/>
    </row>
    <row r="1400" spans="1:3">
      <c r="A1400" s="481"/>
      <c r="B1400" s="481"/>
      <c r="C1400" s="485"/>
    </row>
    <row r="1401" spans="1:3">
      <c r="A1401" s="481"/>
      <c r="B1401" s="481"/>
      <c r="C1401" s="485"/>
    </row>
    <row r="1402" spans="1:3">
      <c r="A1402" s="481"/>
      <c r="B1402" s="481"/>
      <c r="C1402" s="485"/>
    </row>
    <row r="1403" spans="1:3">
      <c r="A1403" s="481"/>
      <c r="B1403" s="481"/>
      <c r="C1403" s="485"/>
    </row>
    <row r="1404" spans="1:3">
      <c r="A1404" s="481"/>
      <c r="B1404" s="481"/>
      <c r="C1404" s="485"/>
    </row>
    <row r="1405" spans="1:3">
      <c r="A1405" s="481"/>
      <c r="B1405" s="481"/>
      <c r="C1405" s="485"/>
    </row>
    <row r="1406" spans="1:3">
      <c r="A1406" s="481"/>
      <c r="B1406" s="481"/>
      <c r="C1406" s="485"/>
    </row>
    <row r="1407" spans="1:3">
      <c r="A1407" s="481"/>
      <c r="B1407" s="481"/>
      <c r="C1407" s="485"/>
    </row>
    <row r="1408" spans="1:3">
      <c r="A1408" s="481"/>
      <c r="B1408" s="481"/>
      <c r="C1408" s="485"/>
    </row>
    <row r="1409" spans="1:3">
      <c r="A1409" s="481"/>
      <c r="B1409" s="481"/>
      <c r="C1409" s="485"/>
    </row>
    <row r="1410" spans="1:3">
      <c r="A1410" s="481"/>
      <c r="B1410" s="481"/>
      <c r="C1410" s="485"/>
    </row>
    <row r="1411" spans="1:3">
      <c r="A1411" s="481"/>
      <c r="B1411" s="481"/>
      <c r="C1411" s="485"/>
    </row>
    <row r="1412" spans="1:3">
      <c r="A1412" s="481"/>
      <c r="B1412" s="481"/>
      <c r="C1412" s="485"/>
    </row>
    <row r="1413" spans="1:3">
      <c r="A1413" s="481"/>
      <c r="B1413" s="481"/>
      <c r="C1413" s="485"/>
    </row>
    <row r="1414" spans="1:3">
      <c r="A1414" s="481"/>
      <c r="B1414" s="481"/>
      <c r="C1414" s="485"/>
    </row>
    <row r="1415" spans="1:3">
      <c r="A1415" s="481"/>
      <c r="B1415" s="481"/>
      <c r="C1415" s="485"/>
    </row>
    <row r="1416" spans="1:3">
      <c r="A1416" s="481"/>
      <c r="B1416" s="481"/>
      <c r="C1416" s="485"/>
    </row>
    <row r="1417" spans="1:3">
      <c r="A1417" s="481"/>
      <c r="B1417" s="481"/>
      <c r="C1417" s="485"/>
    </row>
    <row r="1418" spans="1:3">
      <c r="A1418" s="481"/>
      <c r="B1418" s="481"/>
      <c r="C1418" s="485"/>
    </row>
    <row r="1419" spans="1:3">
      <c r="A1419" s="481"/>
      <c r="B1419" s="481"/>
      <c r="C1419" s="485"/>
    </row>
    <row r="1420" spans="1:3">
      <c r="A1420" s="481"/>
      <c r="B1420" s="481"/>
      <c r="C1420" s="485"/>
    </row>
    <row r="1421" spans="1:3">
      <c r="A1421" s="481"/>
      <c r="B1421" s="481"/>
      <c r="C1421" s="485"/>
    </row>
    <row r="1422" spans="1:3">
      <c r="A1422" s="481"/>
      <c r="B1422" s="481"/>
      <c r="C1422" s="485"/>
    </row>
    <row r="1423" spans="1:3">
      <c r="A1423" s="481"/>
      <c r="B1423" s="481"/>
      <c r="C1423" s="485"/>
    </row>
    <row r="1424" spans="1:3">
      <c r="A1424" s="481"/>
      <c r="B1424" s="481"/>
      <c r="C1424" s="485"/>
    </row>
    <row r="1425" spans="1:3">
      <c r="A1425" s="481"/>
      <c r="B1425" s="481"/>
      <c r="C1425" s="485"/>
    </row>
    <row r="1426" spans="1:3">
      <c r="A1426" s="481"/>
      <c r="B1426" s="481"/>
      <c r="C1426" s="485"/>
    </row>
    <row r="1427" spans="1:3">
      <c r="A1427" s="481"/>
      <c r="B1427" s="481"/>
      <c r="C1427" s="485"/>
    </row>
    <row r="1428" spans="1:3">
      <c r="A1428" s="481"/>
      <c r="B1428" s="481"/>
      <c r="C1428" s="485"/>
    </row>
    <row r="1429" spans="1:3">
      <c r="A1429" s="481"/>
      <c r="B1429" s="481"/>
      <c r="C1429" s="485"/>
    </row>
    <row r="1430" spans="1:3">
      <c r="A1430" s="481"/>
      <c r="B1430" s="481"/>
      <c r="C1430" s="485"/>
    </row>
    <row r="1431" spans="1:3">
      <c r="A1431" s="481"/>
      <c r="B1431" s="481"/>
      <c r="C1431" s="485"/>
    </row>
    <row r="1432" spans="1:3">
      <c r="A1432" s="481"/>
      <c r="B1432" s="481"/>
      <c r="C1432" s="485"/>
    </row>
    <row r="1433" spans="1:3">
      <c r="A1433" s="481"/>
      <c r="B1433" s="481"/>
      <c r="C1433" s="485"/>
    </row>
    <row r="1434" spans="1:3">
      <c r="A1434" s="481"/>
      <c r="B1434" s="481"/>
      <c r="C1434" s="485"/>
    </row>
    <row r="1435" spans="1:3">
      <c r="A1435" s="481"/>
      <c r="B1435" s="481"/>
      <c r="C1435" s="485"/>
    </row>
    <row r="1436" spans="1:3">
      <c r="A1436" s="481"/>
      <c r="B1436" s="481"/>
      <c r="C1436" s="485"/>
    </row>
    <row r="1437" spans="1:3">
      <c r="A1437" s="481"/>
      <c r="B1437" s="481"/>
      <c r="C1437" s="485"/>
    </row>
    <row r="1438" spans="1:3">
      <c r="A1438" s="481"/>
      <c r="B1438" s="481"/>
      <c r="C1438" s="485"/>
    </row>
    <row r="1439" spans="1:3">
      <c r="A1439" s="481"/>
      <c r="B1439" s="481"/>
      <c r="C1439" s="485"/>
    </row>
    <row r="1440" spans="1:3">
      <c r="A1440" s="481"/>
      <c r="B1440" s="481"/>
      <c r="C1440" s="485"/>
    </row>
    <row r="1441" spans="1:3">
      <c r="A1441" s="481"/>
      <c r="B1441" s="481"/>
      <c r="C1441" s="485"/>
    </row>
    <row r="1442" spans="1:3">
      <c r="A1442" s="481"/>
      <c r="B1442" s="481"/>
      <c r="C1442" s="485"/>
    </row>
    <row r="1443" spans="1:3">
      <c r="A1443" s="481"/>
      <c r="B1443" s="481"/>
      <c r="C1443" s="485"/>
    </row>
    <row r="1444" spans="1:3">
      <c r="A1444" s="481"/>
      <c r="B1444" s="481"/>
      <c r="C1444" s="485"/>
    </row>
    <row r="1445" spans="1:3">
      <c r="A1445" s="481"/>
      <c r="B1445" s="481"/>
      <c r="C1445" s="485"/>
    </row>
    <row r="1446" spans="1:3">
      <c r="A1446" s="481"/>
      <c r="B1446" s="481"/>
      <c r="C1446" s="485"/>
    </row>
    <row r="1447" spans="1:3">
      <c r="A1447" s="481"/>
      <c r="B1447" s="481"/>
      <c r="C1447" s="485"/>
    </row>
    <row r="1448" spans="1:3">
      <c r="A1448" s="481"/>
      <c r="B1448" s="481"/>
      <c r="C1448" s="485"/>
    </row>
    <row r="1449" spans="1:3">
      <c r="A1449" s="481"/>
      <c r="B1449" s="481"/>
      <c r="C1449" s="485"/>
    </row>
    <row r="1450" spans="1:3">
      <c r="A1450" s="481"/>
      <c r="B1450" s="481"/>
      <c r="C1450" s="485"/>
    </row>
    <row r="1451" spans="1:3">
      <c r="A1451" s="481"/>
      <c r="B1451" s="481"/>
      <c r="C1451" s="485"/>
    </row>
    <row r="1452" spans="1:3">
      <c r="A1452" s="481"/>
      <c r="B1452" s="481"/>
      <c r="C1452" s="485"/>
    </row>
    <row r="1453" spans="1:3">
      <c r="A1453" s="481"/>
      <c r="B1453" s="481"/>
      <c r="C1453" s="485"/>
    </row>
    <row r="1454" spans="1:3">
      <c r="A1454" s="481"/>
      <c r="B1454" s="481"/>
      <c r="C1454" s="485"/>
    </row>
    <row r="1455" spans="1:3">
      <c r="A1455" s="481"/>
      <c r="B1455" s="481"/>
      <c r="C1455" s="485"/>
    </row>
    <row r="1456" spans="1:3">
      <c r="A1456" s="481"/>
      <c r="B1456" s="481"/>
      <c r="C1456" s="485"/>
    </row>
    <row r="1457" spans="1:3">
      <c r="A1457" s="481"/>
      <c r="B1457" s="481"/>
      <c r="C1457" s="485"/>
    </row>
    <row r="1458" spans="1:3">
      <c r="A1458" s="481"/>
      <c r="B1458" s="481"/>
      <c r="C1458" s="485"/>
    </row>
    <row r="1459" spans="1:3">
      <c r="A1459" s="481"/>
      <c r="B1459" s="481"/>
      <c r="C1459" s="485"/>
    </row>
    <row r="1460" spans="1:3">
      <c r="A1460" s="481"/>
      <c r="B1460" s="481"/>
      <c r="C1460" s="485"/>
    </row>
    <row r="1461" spans="1:3">
      <c r="A1461" s="481"/>
      <c r="B1461" s="481"/>
      <c r="C1461" s="485"/>
    </row>
    <row r="1462" spans="1:3">
      <c r="A1462" s="481"/>
      <c r="B1462" s="481"/>
      <c r="C1462" s="485"/>
    </row>
    <row r="1463" spans="1:3">
      <c r="A1463" s="481"/>
      <c r="B1463" s="481"/>
      <c r="C1463" s="485"/>
    </row>
    <row r="1464" spans="1:3">
      <c r="A1464" s="481"/>
      <c r="B1464" s="481"/>
      <c r="C1464" s="485"/>
    </row>
    <row r="1465" spans="1:3">
      <c r="A1465" s="481"/>
      <c r="B1465" s="481"/>
      <c r="C1465" s="485"/>
    </row>
    <row r="1466" spans="1:3">
      <c r="A1466" s="481"/>
      <c r="B1466" s="481"/>
      <c r="C1466" s="485"/>
    </row>
    <row r="1467" spans="1:3">
      <c r="A1467" s="481"/>
      <c r="B1467" s="481"/>
      <c r="C1467" s="485"/>
    </row>
    <row r="1468" spans="1:3">
      <c r="A1468" s="481"/>
      <c r="B1468" s="481"/>
      <c r="C1468" s="485"/>
    </row>
    <row r="1469" spans="1:3">
      <c r="A1469" s="481"/>
      <c r="B1469" s="481"/>
      <c r="C1469" s="485"/>
    </row>
    <row r="1470" spans="1:3">
      <c r="A1470" s="481"/>
      <c r="B1470" s="481"/>
      <c r="C1470" s="485"/>
    </row>
    <row r="1471" spans="1:3">
      <c r="A1471" s="481"/>
      <c r="B1471" s="481"/>
      <c r="C1471" s="485"/>
    </row>
    <row r="1472" spans="1:3">
      <c r="A1472" s="481"/>
      <c r="B1472" s="481"/>
      <c r="C1472" s="485"/>
    </row>
    <row r="1473" spans="1:3">
      <c r="A1473" s="481"/>
      <c r="B1473" s="481"/>
      <c r="C1473" s="485"/>
    </row>
    <row r="1474" spans="1:3">
      <c r="A1474" s="481"/>
      <c r="B1474" s="481"/>
      <c r="C1474" s="485"/>
    </row>
    <row r="1475" spans="1:3">
      <c r="A1475" s="481"/>
      <c r="B1475" s="481"/>
      <c r="C1475" s="485"/>
    </row>
    <row r="1476" spans="1:3">
      <c r="A1476" s="481"/>
      <c r="B1476" s="481"/>
      <c r="C1476" s="485"/>
    </row>
    <row r="1477" spans="1:3">
      <c r="A1477" s="481"/>
      <c r="B1477" s="481"/>
      <c r="C1477" s="485"/>
    </row>
    <row r="1478" spans="1:3">
      <c r="A1478" s="481"/>
      <c r="B1478" s="481"/>
      <c r="C1478" s="485"/>
    </row>
    <row r="1479" spans="1:3">
      <c r="A1479" s="481"/>
      <c r="B1479" s="481"/>
      <c r="C1479" s="485"/>
    </row>
    <row r="1480" spans="1:3">
      <c r="A1480" s="481"/>
      <c r="B1480" s="481"/>
      <c r="C1480" s="485"/>
    </row>
    <row r="1481" spans="1:3">
      <c r="A1481" s="481"/>
      <c r="B1481" s="481"/>
      <c r="C1481" s="485"/>
    </row>
    <row r="1482" spans="1:3">
      <c r="A1482" s="481"/>
      <c r="B1482" s="481"/>
      <c r="C1482" s="485"/>
    </row>
    <row r="1483" spans="1:3">
      <c r="A1483" s="481"/>
      <c r="B1483" s="481"/>
      <c r="C1483" s="485"/>
    </row>
    <row r="1484" spans="1:3">
      <c r="A1484" s="481"/>
      <c r="B1484" s="481"/>
      <c r="C1484" s="485"/>
    </row>
    <row r="1485" spans="1:3">
      <c r="A1485" s="481"/>
      <c r="B1485" s="481"/>
      <c r="C1485" s="485"/>
    </row>
    <row r="1486" spans="1:3">
      <c r="A1486" s="481"/>
      <c r="B1486" s="481"/>
      <c r="C1486" s="485"/>
    </row>
    <row r="1487" spans="1:3">
      <c r="A1487" s="481"/>
      <c r="B1487" s="481"/>
      <c r="C1487" s="485"/>
    </row>
    <row r="1488" spans="1:3">
      <c r="A1488" s="481"/>
      <c r="B1488" s="481"/>
      <c r="C1488" s="485"/>
    </row>
    <row r="1489" spans="1:3">
      <c r="A1489" s="481"/>
      <c r="B1489" s="481"/>
      <c r="C1489" s="485"/>
    </row>
    <row r="1490" spans="1:3">
      <c r="A1490" s="481"/>
      <c r="B1490" s="481"/>
      <c r="C1490" s="485"/>
    </row>
    <row r="1491" spans="1:3">
      <c r="A1491" s="481"/>
      <c r="B1491" s="481"/>
      <c r="C1491" s="485"/>
    </row>
    <row r="1492" spans="1:3">
      <c r="A1492" s="481"/>
      <c r="B1492" s="481"/>
      <c r="C1492" s="485"/>
    </row>
    <row r="1493" spans="1:3">
      <c r="A1493" s="481"/>
      <c r="B1493" s="481"/>
      <c r="C1493" s="485"/>
    </row>
    <row r="1494" spans="1:3">
      <c r="A1494" s="481"/>
      <c r="B1494" s="481"/>
      <c r="C1494" s="485"/>
    </row>
    <row r="1495" spans="1:3">
      <c r="A1495" s="481"/>
      <c r="B1495" s="481"/>
      <c r="C1495" s="485"/>
    </row>
    <row r="1496" spans="1:3">
      <c r="A1496" s="481"/>
      <c r="B1496" s="481"/>
      <c r="C1496" s="485"/>
    </row>
    <row r="1497" spans="1:3">
      <c r="A1497" s="481"/>
      <c r="B1497" s="481"/>
      <c r="C1497" s="485"/>
    </row>
    <row r="1498" spans="1:3">
      <c r="A1498" s="481"/>
      <c r="B1498" s="481"/>
      <c r="C1498" s="485"/>
    </row>
    <row r="1499" spans="1:3">
      <c r="A1499" s="481"/>
      <c r="B1499" s="481"/>
      <c r="C1499" s="485"/>
    </row>
    <row r="1500" spans="1:3">
      <c r="A1500" s="481"/>
      <c r="B1500" s="481"/>
      <c r="C1500" s="485"/>
    </row>
    <row r="1501" spans="1:3">
      <c r="A1501" s="481"/>
      <c r="B1501" s="481"/>
      <c r="C1501" s="485"/>
    </row>
    <row r="1502" spans="1:3">
      <c r="A1502" s="481"/>
      <c r="B1502" s="481"/>
      <c r="C1502" s="485"/>
    </row>
    <row r="1503" spans="1:3">
      <c r="A1503" s="481"/>
      <c r="B1503" s="481"/>
      <c r="C1503" s="485"/>
    </row>
    <row r="1504" spans="1:3">
      <c r="A1504" s="481"/>
      <c r="B1504" s="481"/>
      <c r="C1504" s="485"/>
    </row>
    <row r="1505" spans="1:3">
      <c r="A1505" s="481"/>
      <c r="B1505" s="481"/>
      <c r="C1505" s="485"/>
    </row>
    <row r="1506" spans="1:3">
      <c r="A1506" s="481"/>
      <c r="B1506" s="481"/>
      <c r="C1506" s="485"/>
    </row>
    <row r="1507" spans="1:3">
      <c r="A1507" s="481"/>
      <c r="B1507" s="481"/>
      <c r="C1507" s="485"/>
    </row>
    <row r="1508" spans="1:3">
      <c r="A1508" s="481"/>
      <c r="B1508" s="481"/>
      <c r="C1508" s="485"/>
    </row>
    <row r="1509" spans="1:3">
      <c r="A1509" s="481"/>
      <c r="B1509" s="481"/>
      <c r="C1509" s="485"/>
    </row>
    <row r="1510" spans="1:3">
      <c r="A1510" s="481"/>
      <c r="B1510" s="481"/>
      <c r="C1510" s="485"/>
    </row>
    <row r="1511" spans="1:3">
      <c r="A1511" s="481"/>
      <c r="B1511" s="481"/>
      <c r="C1511" s="485"/>
    </row>
    <row r="1512" spans="1:3">
      <c r="A1512" s="481"/>
      <c r="B1512" s="481"/>
      <c r="C1512" s="485"/>
    </row>
    <row r="1513" spans="1:3">
      <c r="A1513" s="481"/>
      <c r="B1513" s="481"/>
      <c r="C1513" s="485"/>
    </row>
    <row r="1514" spans="1:3">
      <c r="A1514" s="481"/>
      <c r="B1514" s="481"/>
      <c r="C1514" s="485"/>
    </row>
    <row r="1515" spans="1:3">
      <c r="A1515" s="481"/>
      <c r="B1515" s="481"/>
      <c r="C1515" s="485"/>
    </row>
    <row r="1516" spans="1:3">
      <c r="A1516" s="481"/>
      <c r="B1516" s="481"/>
      <c r="C1516" s="485"/>
    </row>
    <row r="1517" spans="1:3">
      <c r="A1517" s="481"/>
      <c r="B1517" s="481"/>
      <c r="C1517" s="485"/>
    </row>
    <row r="1518" spans="1:3">
      <c r="A1518" s="481"/>
      <c r="B1518" s="481"/>
      <c r="C1518" s="485"/>
    </row>
    <row r="1519" spans="1:3">
      <c r="A1519" s="481"/>
      <c r="B1519" s="481"/>
      <c r="C1519" s="485"/>
    </row>
    <row r="1520" spans="1:3">
      <c r="A1520" s="481"/>
      <c r="B1520" s="481"/>
      <c r="C1520" s="485"/>
    </row>
    <row r="1521" spans="1:3">
      <c r="A1521" s="481"/>
      <c r="B1521" s="481"/>
      <c r="C1521" s="485"/>
    </row>
    <row r="1522" spans="1:3">
      <c r="A1522" s="481"/>
      <c r="B1522" s="481"/>
      <c r="C1522" s="485"/>
    </row>
    <row r="1523" spans="1:3">
      <c r="A1523" s="481"/>
      <c r="B1523" s="481"/>
      <c r="C1523" s="485"/>
    </row>
    <row r="1524" spans="1:3">
      <c r="A1524" s="481"/>
      <c r="B1524" s="481"/>
      <c r="C1524" s="485"/>
    </row>
    <row r="1525" spans="1:3">
      <c r="A1525" s="481"/>
      <c r="B1525" s="481"/>
      <c r="C1525" s="485"/>
    </row>
    <row r="1526" spans="1:3">
      <c r="A1526" s="481"/>
      <c r="B1526" s="481"/>
      <c r="C1526" s="485"/>
    </row>
    <row r="1527" spans="1:3">
      <c r="A1527" s="481"/>
      <c r="B1527" s="481"/>
      <c r="C1527" s="485"/>
    </row>
    <row r="1528" spans="1:3">
      <c r="A1528" s="481"/>
      <c r="B1528" s="481"/>
      <c r="C1528" s="485"/>
    </row>
    <row r="1529" spans="1:3">
      <c r="A1529" s="481"/>
      <c r="B1529" s="481"/>
      <c r="C1529" s="485"/>
    </row>
    <row r="1530" spans="1:3">
      <c r="A1530" s="481"/>
      <c r="B1530" s="481"/>
      <c r="C1530" s="485"/>
    </row>
    <row r="1531" spans="1:3">
      <c r="A1531" s="481"/>
      <c r="B1531" s="481"/>
      <c r="C1531" s="485"/>
    </row>
    <row r="1532" spans="1:3">
      <c r="A1532" s="481"/>
      <c r="B1532" s="481"/>
      <c r="C1532" s="485"/>
    </row>
    <row r="1533" spans="1:3">
      <c r="A1533" s="481"/>
      <c r="B1533" s="481"/>
      <c r="C1533" s="485"/>
    </row>
    <row r="1534" spans="1:3">
      <c r="A1534" s="481"/>
      <c r="B1534" s="481"/>
      <c r="C1534" s="485"/>
    </row>
    <row r="1535" spans="1:3">
      <c r="A1535" s="481"/>
      <c r="B1535" s="481"/>
      <c r="C1535" s="485"/>
    </row>
    <row r="1536" spans="1:3">
      <c r="A1536" s="481"/>
      <c r="B1536" s="481"/>
      <c r="C1536" s="485"/>
    </row>
    <row r="1537" spans="1:3">
      <c r="A1537" s="481"/>
      <c r="B1537" s="481"/>
      <c r="C1537" s="485"/>
    </row>
    <row r="1538" spans="1:3">
      <c r="A1538" s="481"/>
      <c r="B1538" s="481"/>
      <c r="C1538" s="485"/>
    </row>
    <row r="1539" spans="1:3">
      <c r="A1539" s="481"/>
      <c r="B1539" s="481"/>
      <c r="C1539" s="485"/>
    </row>
    <row r="1540" spans="1:3">
      <c r="A1540" s="481"/>
      <c r="B1540" s="481"/>
      <c r="C1540" s="485"/>
    </row>
    <row r="1541" spans="1:3">
      <c r="A1541" s="481"/>
      <c r="B1541" s="481"/>
      <c r="C1541" s="485"/>
    </row>
    <row r="1542" spans="1:3">
      <c r="A1542" s="481"/>
      <c r="B1542" s="481"/>
      <c r="C1542" s="485"/>
    </row>
    <row r="1543" spans="1:3">
      <c r="A1543" s="481"/>
      <c r="B1543" s="481"/>
      <c r="C1543" s="485"/>
    </row>
    <row r="1544" spans="1:3">
      <c r="A1544" s="481"/>
      <c r="B1544" s="481"/>
      <c r="C1544" s="485"/>
    </row>
    <row r="1545" spans="1:3">
      <c r="A1545" s="481"/>
      <c r="B1545" s="481"/>
      <c r="C1545" s="485"/>
    </row>
    <row r="1546" spans="1:3">
      <c r="A1546" s="481"/>
      <c r="B1546" s="481"/>
      <c r="C1546" s="485"/>
    </row>
    <row r="1547" spans="1:3">
      <c r="A1547" s="481"/>
      <c r="B1547" s="481"/>
      <c r="C1547" s="485"/>
    </row>
    <row r="1548" spans="1:3">
      <c r="A1548" s="481"/>
      <c r="B1548" s="481"/>
      <c r="C1548" s="485"/>
    </row>
    <row r="1549" spans="1:3">
      <c r="A1549" s="481"/>
      <c r="B1549" s="481"/>
      <c r="C1549" s="485"/>
    </row>
    <row r="1550" spans="1:3">
      <c r="A1550" s="481"/>
      <c r="B1550" s="481"/>
      <c r="C1550" s="485"/>
    </row>
    <row r="1551" spans="1:3">
      <c r="A1551" s="481"/>
      <c r="B1551" s="481"/>
      <c r="C1551" s="485"/>
    </row>
    <row r="1552" spans="1:3">
      <c r="A1552" s="481"/>
      <c r="B1552" s="481"/>
      <c r="C1552" s="485"/>
    </row>
    <row r="1553" spans="1:3">
      <c r="A1553" s="481"/>
      <c r="B1553" s="481"/>
      <c r="C1553" s="485"/>
    </row>
    <row r="1554" spans="1:3">
      <c r="A1554" s="481"/>
      <c r="B1554" s="481"/>
      <c r="C1554" s="485"/>
    </row>
    <row r="1555" spans="1:3">
      <c r="A1555" s="481"/>
      <c r="B1555" s="481"/>
      <c r="C1555" s="485"/>
    </row>
    <row r="1556" spans="1:3">
      <c r="A1556" s="481"/>
      <c r="B1556" s="481"/>
      <c r="C1556" s="485"/>
    </row>
    <row r="1557" spans="1:3">
      <c r="A1557" s="481"/>
      <c r="B1557" s="481"/>
      <c r="C1557" s="485"/>
    </row>
    <row r="1558" spans="1:3">
      <c r="A1558" s="481"/>
      <c r="B1558" s="481"/>
      <c r="C1558" s="485"/>
    </row>
    <row r="1559" spans="1:3">
      <c r="A1559" s="481"/>
      <c r="B1559" s="481"/>
      <c r="C1559" s="485"/>
    </row>
    <row r="1560" spans="1:3">
      <c r="A1560" s="481"/>
      <c r="B1560" s="481"/>
      <c r="C1560" s="485"/>
    </row>
    <row r="1561" spans="1:3">
      <c r="A1561" s="481"/>
      <c r="B1561" s="481"/>
      <c r="C1561" s="485"/>
    </row>
    <row r="1562" spans="1:3">
      <c r="A1562" s="481"/>
      <c r="B1562" s="481"/>
      <c r="C1562" s="485"/>
    </row>
    <row r="1563" spans="1:3">
      <c r="A1563" s="481"/>
      <c r="B1563" s="481"/>
      <c r="C1563" s="485"/>
    </row>
    <row r="1564" spans="1:3">
      <c r="A1564" s="481"/>
      <c r="B1564" s="481"/>
      <c r="C1564" s="485"/>
    </row>
    <row r="1565" spans="1:3">
      <c r="A1565" s="481"/>
      <c r="B1565" s="481"/>
      <c r="C1565" s="485"/>
    </row>
    <row r="1566" spans="1:3">
      <c r="A1566" s="481"/>
      <c r="B1566" s="481"/>
      <c r="C1566" s="485"/>
    </row>
    <row r="1567" spans="1:3">
      <c r="A1567" s="481"/>
      <c r="B1567" s="481"/>
      <c r="C1567" s="485"/>
    </row>
    <row r="1568" spans="1:3">
      <c r="A1568" s="481"/>
      <c r="B1568" s="481"/>
      <c r="C1568" s="485"/>
    </row>
    <row r="1569" spans="1:3">
      <c r="A1569" s="481"/>
      <c r="B1569" s="481"/>
      <c r="C1569" s="485"/>
    </row>
    <row r="1570" spans="1:3">
      <c r="A1570" s="481"/>
      <c r="B1570" s="481"/>
      <c r="C1570" s="485"/>
    </row>
    <row r="1571" spans="1:3">
      <c r="A1571" s="481"/>
      <c r="B1571" s="481"/>
      <c r="C1571" s="485"/>
    </row>
    <row r="1572" spans="1:3">
      <c r="A1572" s="481"/>
      <c r="B1572" s="481"/>
      <c r="C1572" s="485"/>
    </row>
    <row r="1573" spans="1:3">
      <c r="A1573" s="481"/>
      <c r="B1573" s="481"/>
      <c r="C1573" s="485"/>
    </row>
    <row r="1574" spans="1:3">
      <c r="A1574" s="481"/>
      <c r="B1574" s="481"/>
      <c r="C1574" s="485"/>
    </row>
    <row r="1575" spans="1:3">
      <c r="A1575" s="481"/>
      <c r="B1575" s="481"/>
      <c r="C1575" s="485"/>
    </row>
    <row r="1576" spans="1:3">
      <c r="A1576" s="481"/>
      <c r="B1576" s="481"/>
      <c r="C1576" s="485"/>
    </row>
    <row r="1577" spans="1:3">
      <c r="A1577" s="481"/>
      <c r="B1577" s="481"/>
      <c r="C1577" s="485"/>
    </row>
    <row r="1578" spans="1:3">
      <c r="A1578" s="481"/>
      <c r="B1578" s="481"/>
      <c r="C1578" s="485"/>
    </row>
    <row r="1579" spans="1:3">
      <c r="A1579" s="481"/>
      <c r="B1579" s="481"/>
      <c r="C1579" s="485"/>
    </row>
    <row r="1580" spans="1:3">
      <c r="A1580" s="481"/>
      <c r="B1580" s="481"/>
      <c r="C1580" s="485"/>
    </row>
    <row r="1581" spans="1:3">
      <c r="A1581" s="481"/>
      <c r="B1581" s="481"/>
      <c r="C1581" s="485"/>
    </row>
    <row r="1582" spans="1:3">
      <c r="A1582" s="481"/>
      <c r="B1582" s="481"/>
      <c r="C1582" s="485"/>
    </row>
    <row r="1583" spans="1:3">
      <c r="A1583" s="481"/>
      <c r="B1583" s="481"/>
      <c r="C1583" s="485"/>
    </row>
    <row r="1584" spans="1:3">
      <c r="A1584" s="481"/>
      <c r="B1584" s="481"/>
      <c r="C1584" s="485"/>
    </row>
    <row r="1585" spans="1:3">
      <c r="A1585" s="481"/>
      <c r="B1585" s="481"/>
      <c r="C1585" s="485"/>
    </row>
    <row r="1586" spans="1:3">
      <c r="A1586" s="481"/>
      <c r="B1586" s="481"/>
      <c r="C1586" s="485"/>
    </row>
    <row r="1587" spans="1:3">
      <c r="A1587" s="481"/>
      <c r="B1587" s="481"/>
      <c r="C1587" s="485"/>
    </row>
    <row r="1588" spans="1:3">
      <c r="A1588" s="481"/>
      <c r="B1588" s="481"/>
      <c r="C1588" s="485"/>
    </row>
    <row r="1589" spans="1:3">
      <c r="A1589" s="481"/>
      <c r="B1589" s="481"/>
      <c r="C1589" s="485"/>
    </row>
    <row r="1590" spans="1:3">
      <c r="A1590" s="481"/>
      <c r="B1590" s="481"/>
      <c r="C1590" s="485"/>
    </row>
    <row r="1591" spans="1:3">
      <c r="A1591" s="481"/>
      <c r="B1591" s="481"/>
      <c r="C1591" s="485"/>
    </row>
    <row r="1592" spans="1:3">
      <c r="A1592" s="481"/>
      <c r="B1592" s="481"/>
      <c r="C1592" s="485"/>
    </row>
    <row r="1593" spans="1:3">
      <c r="A1593" s="481"/>
      <c r="B1593" s="481"/>
      <c r="C1593" s="485"/>
    </row>
    <row r="1594" spans="1:3">
      <c r="A1594" s="481"/>
      <c r="B1594" s="481"/>
      <c r="C1594" s="485"/>
    </row>
    <row r="1595" spans="1:3">
      <c r="A1595" s="481"/>
      <c r="B1595" s="481"/>
      <c r="C1595" s="485"/>
    </row>
    <row r="1596" spans="1:3">
      <c r="A1596" s="481"/>
      <c r="B1596" s="481"/>
      <c r="C1596" s="485"/>
    </row>
    <row r="1597" spans="1:3">
      <c r="A1597" s="481"/>
      <c r="B1597" s="481"/>
      <c r="C1597" s="485"/>
    </row>
    <row r="1598" spans="1:3">
      <c r="A1598" s="481"/>
      <c r="B1598" s="481"/>
      <c r="C1598" s="485"/>
    </row>
    <row r="1599" spans="1:3">
      <c r="A1599" s="481"/>
      <c r="B1599" s="481"/>
      <c r="C1599" s="485"/>
    </row>
    <row r="1600" spans="1:3">
      <c r="A1600" s="481"/>
      <c r="B1600" s="481"/>
      <c r="C1600" s="485"/>
    </row>
    <row r="1601" spans="1:3">
      <c r="A1601" s="481"/>
      <c r="B1601" s="481"/>
      <c r="C1601" s="485"/>
    </row>
    <row r="1602" spans="1:3">
      <c r="A1602" s="481"/>
      <c r="B1602" s="481"/>
      <c r="C1602" s="485"/>
    </row>
    <row r="1603" spans="1:3">
      <c r="A1603" s="481"/>
      <c r="B1603" s="481"/>
      <c r="C1603" s="485"/>
    </row>
    <row r="1604" spans="1:3">
      <c r="A1604" s="481"/>
      <c r="B1604" s="481"/>
      <c r="C1604" s="485"/>
    </row>
    <row r="1605" spans="1:3">
      <c r="A1605" s="481"/>
      <c r="B1605" s="481"/>
      <c r="C1605" s="485"/>
    </row>
    <row r="1606" spans="1:3">
      <c r="A1606" s="481"/>
      <c r="B1606" s="481"/>
      <c r="C1606" s="485"/>
    </row>
    <row r="1607" spans="1:3">
      <c r="A1607" s="481"/>
      <c r="B1607" s="481"/>
      <c r="C1607" s="485"/>
    </row>
    <row r="1608" spans="1:3">
      <c r="A1608" s="481"/>
      <c r="B1608" s="481"/>
      <c r="C1608" s="485"/>
    </row>
    <row r="1609" spans="1:3">
      <c r="A1609" s="481"/>
      <c r="B1609" s="481"/>
      <c r="C1609" s="485"/>
    </row>
    <row r="1610" spans="1:3">
      <c r="A1610" s="481"/>
      <c r="B1610" s="481"/>
      <c r="C1610" s="485"/>
    </row>
    <row r="1611" spans="1:3">
      <c r="A1611" s="481"/>
      <c r="B1611" s="481"/>
      <c r="C1611" s="485"/>
    </row>
    <row r="1612" spans="1:3">
      <c r="A1612" s="481"/>
      <c r="B1612" s="481"/>
      <c r="C1612" s="485"/>
    </row>
    <row r="1613" spans="1:3">
      <c r="A1613" s="481"/>
      <c r="B1613" s="481"/>
      <c r="C1613" s="485"/>
    </row>
    <row r="1614" spans="1:3">
      <c r="A1614" s="481"/>
      <c r="B1614" s="481"/>
      <c r="C1614" s="485"/>
    </row>
    <row r="1615" spans="1:3">
      <c r="A1615" s="481"/>
      <c r="B1615" s="481"/>
      <c r="C1615" s="485"/>
    </row>
    <row r="1616" spans="1:3">
      <c r="A1616" s="481"/>
      <c r="B1616" s="481"/>
      <c r="C1616" s="485"/>
    </row>
    <row r="1617" spans="1:3">
      <c r="A1617" s="481"/>
      <c r="B1617" s="481"/>
      <c r="C1617" s="485"/>
    </row>
    <row r="1618" spans="1:3">
      <c r="A1618" s="481"/>
      <c r="B1618" s="481"/>
      <c r="C1618" s="485"/>
    </row>
    <row r="1619" spans="1:3">
      <c r="A1619" s="481"/>
      <c r="B1619" s="481"/>
      <c r="C1619" s="485"/>
    </row>
    <row r="1620" spans="1:3">
      <c r="A1620" s="481"/>
      <c r="B1620" s="481"/>
      <c r="C1620" s="485"/>
    </row>
    <row r="1621" spans="1:3">
      <c r="A1621" s="481"/>
      <c r="B1621" s="481"/>
      <c r="C1621" s="485"/>
    </row>
    <row r="1622" spans="1:3">
      <c r="A1622" s="481"/>
      <c r="B1622" s="481"/>
      <c r="C1622" s="485"/>
    </row>
    <row r="1623" spans="1:3">
      <c r="A1623" s="481"/>
      <c r="B1623" s="481"/>
      <c r="C1623" s="485"/>
    </row>
    <row r="1624" spans="1:3">
      <c r="A1624" s="481"/>
      <c r="B1624" s="481"/>
      <c r="C1624" s="485"/>
    </row>
    <row r="1625" spans="1:3">
      <c r="A1625" s="481"/>
      <c r="B1625" s="481"/>
      <c r="C1625" s="485"/>
    </row>
    <row r="1626" spans="1:3">
      <c r="A1626" s="481"/>
      <c r="B1626" s="481"/>
      <c r="C1626" s="485"/>
    </row>
    <row r="1627" spans="1:3">
      <c r="A1627" s="481"/>
      <c r="B1627" s="481"/>
      <c r="C1627" s="485"/>
    </row>
    <row r="1628" spans="1:3">
      <c r="A1628" s="481"/>
      <c r="B1628" s="481"/>
      <c r="C1628" s="485"/>
    </row>
    <row r="1629" spans="1:3">
      <c r="A1629" s="481"/>
      <c r="B1629" s="481"/>
      <c r="C1629" s="485"/>
    </row>
    <row r="1630" spans="1:3">
      <c r="A1630" s="481"/>
      <c r="B1630" s="481"/>
      <c r="C1630" s="485"/>
    </row>
    <row r="1631" spans="1:3">
      <c r="A1631" s="481"/>
      <c r="B1631" s="481"/>
      <c r="C1631" s="485"/>
    </row>
    <row r="1632" spans="1:3">
      <c r="A1632" s="481"/>
      <c r="B1632" s="481"/>
      <c r="C1632" s="485"/>
    </row>
    <row r="1633" spans="1:3">
      <c r="A1633" s="481"/>
      <c r="B1633" s="481"/>
      <c r="C1633" s="485"/>
    </row>
    <row r="1634" spans="1:3">
      <c r="A1634" s="481"/>
      <c r="B1634" s="481"/>
      <c r="C1634" s="485"/>
    </row>
    <row r="1635" spans="1:3">
      <c r="A1635" s="481"/>
      <c r="B1635" s="481"/>
      <c r="C1635" s="485"/>
    </row>
    <row r="1636" spans="1:3">
      <c r="A1636" s="481"/>
      <c r="B1636" s="481"/>
      <c r="C1636" s="485"/>
    </row>
    <row r="1637" spans="1:3">
      <c r="A1637" s="481"/>
      <c r="B1637" s="481"/>
      <c r="C1637" s="485"/>
    </row>
    <row r="1638" spans="1:3">
      <c r="A1638" s="481"/>
      <c r="B1638" s="481"/>
      <c r="C1638" s="485"/>
    </row>
    <row r="1639" spans="1:3">
      <c r="A1639" s="481"/>
      <c r="B1639" s="481"/>
      <c r="C1639" s="485"/>
    </row>
    <row r="1640" spans="1:3">
      <c r="A1640" s="481"/>
      <c r="B1640" s="481"/>
      <c r="C1640" s="485"/>
    </row>
    <row r="1641" spans="1:3">
      <c r="A1641" s="481"/>
      <c r="B1641" s="481"/>
      <c r="C1641" s="485"/>
    </row>
    <row r="1642" spans="1:3">
      <c r="A1642" s="481"/>
      <c r="B1642" s="481"/>
      <c r="C1642" s="485"/>
    </row>
    <row r="1643" spans="1:3">
      <c r="A1643" s="481"/>
      <c r="B1643" s="481"/>
      <c r="C1643" s="485"/>
    </row>
    <row r="1644" spans="1:3">
      <c r="A1644" s="481"/>
      <c r="B1644" s="481"/>
      <c r="C1644" s="485"/>
    </row>
    <row r="1645" spans="1:3">
      <c r="A1645" s="481"/>
      <c r="B1645" s="481"/>
      <c r="C1645" s="485"/>
    </row>
    <row r="1646" spans="1:3">
      <c r="A1646" s="481"/>
      <c r="B1646" s="481"/>
      <c r="C1646" s="485"/>
    </row>
    <row r="1647" spans="1:3">
      <c r="A1647" s="481"/>
      <c r="B1647" s="481"/>
      <c r="C1647" s="485"/>
    </row>
    <row r="1648" spans="1:3">
      <c r="A1648" s="481"/>
      <c r="B1648" s="481"/>
      <c r="C1648" s="485"/>
    </row>
    <row r="1649" spans="1:3">
      <c r="A1649" s="481"/>
      <c r="B1649" s="481"/>
      <c r="C1649" s="485"/>
    </row>
    <row r="1650" spans="1:3">
      <c r="A1650" s="481"/>
      <c r="B1650" s="481"/>
      <c r="C1650" s="485"/>
    </row>
    <row r="1651" spans="1:3">
      <c r="A1651" s="481"/>
      <c r="B1651" s="481"/>
      <c r="C1651" s="485"/>
    </row>
    <row r="1652" spans="1:3">
      <c r="A1652" s="481"/>
      <c r="B1652" s="481"/>
      <c r="C1652" s="485"/>
    </row>
    <row r="1653" spans="1:3">
      <c r="A1653" s="481"/>
      <c r="B1653" s="481"/>
      <c r="C1653" s="485"/>
    </row>
    <row r="1654" spans="1:3">
      <c r="A1654" s="481"/>
      <c r="B1654" s="481"/>
      <c r="C1654" s="485"/>
    </row>
    <row r="1655" spans="1:3">
      <c r="A1655" s="481"/>
      <c r="B1655" s="481"/>
      <c r="C1655" s="485"/>
    </row>
    <row r="1656" spans="1:3">
      <c r="A1656" s="481"/>
      <c r="B1656" s="481"/>
      <c r="C1656" s="485"/>
    </row>
    <row r="1657" spans="1:3">
      <c r="A1657" s="481"/>
      <c r="B1657" s="481"/>
      <c r="C1657" s="485"/>
    </row>
    <row r="1658" spans="1:3">
      <c r="A1658" s="481"/>
      <c r="B1658" s="481"/>
      <c r="C1658" s="485"/>
    </row>
    <row r="1659" spans="1:3">
      <c r="A1659" s="481"/>
      <c r="B1659" s="481"/>
      <c r="C1659" s="485"/>
    </row>
    <row r="1660" spans="1:3">
      <c r="A1660" s="481"/>
      <c r="B1660" s="481"/>
      <c r="C1660" s="485"/>
    </row>
    <row r="1661" spans="1:3">
      <c r="A1661" s="481"/>
      <c r="B1661" s="481"/>
      <c r="C1661" s="485"/>
    </row>
    <row r="1662" spans="1:3">
      <c r="A1662" s="481"/>
      <c r="B1662" s="481"/>
      <c r="C1662" s="485"/>
    </row>
    <row r="1663" spans="1:3">
      <c r="A1663" s="481"/>
      <c r="B1663" s="481"/>
      <c r="C1663" s="485"/>
    </row>
    <row r="1664" spans="1:3">
      <c r="A1664" s="481"/>
      <c r="B1664" s="481"/>
      <c r="C1664" s="485"/>
    </row>
    <row r="1665" spans="1:3">
      <c r="A1665" s="481"/>
      <c r="B1665" s="481"/>
      <c r="C1665" s="485"/>
    </row>
    <row r="1666" spans="1:3">
      <c r="A1666" s="481"/>
      <c r="B1666" s="481"/>
      <c r="C1666" s="485"/>
    </row>
    <row r="1667" spans="1:3">
      <c r="A1667" s="481"/>
      <c r="B1667" s="481"/>
      <c r="C1667" s="485"/>
    </row>
    <row r="1668" spans="1:3">
      <c r="A1668" s="481"/>
      <c r="B1668" s="481"/>
      <c r="C1668" s="485"/>
    </row>
    <row r="1669" spans="1:3">
      <c r="A1669" s="481"/>
      <c r="B1669" s="481"/>
      <c r="C1669" s="485"/>
    </row>
    <row r="1670" spans="1:3">
      <c r="A1670" s="481"/>
      <c r="B1670" s="481"/>
      <c r="C1670" s="485"/>
    </row>
    <row r="1671" spans="1:3">
      <c r="A1671" s="481"/>
      <c r="B1671" s="481"/>
      <c r="C1671" s="485"/>
    </row>
    <row r="1672" spans="1:3">
      <c r="A1672" s="481"/>
      <c r="B1672" s="481"/>
      <c r="C1672" s="485"/>
    </row>
    <row r="1673" spans="1:3">
      <c r="A1673" s="481"/>
      <c r="B1673" s="481"/>
      <c r="C1673" s="485"/>
    </row>
    <row r="1674" spans="1:3">
      <c r="A1674" s="481"/>
      <c r="B1674" s="481"/>
      <c r="C1674" s="485"/>
    </row>
    <row r="1675" spans="1:3">
      <c r="A1675" s="481"/>
      <c r="B1675" s="481"/>
      <c r="C1675" s="485"/>
    </row>
    <row r="1676" spans="1:3">
      <c r="A1676" s="481"/>
      <c r="B1676" s="481"/>
      <c r="C1676" s="485"/>
    </row>
    <row r="1677" spans="1:3">
      <c r="A1677" s="481"/>
      <c r="B1677" s="481"/>
      <c r="C1677" s="485"/>
    </row>
    <row r="1678" spans="1:3">
      <c r="A1678" s="481"/>
      <c r="B1678" s="481"/>
      <c r="C1678" s="485"/>
    </row>
    <row r="1679" spans="1:3">
      <c r="A1679" s="481"/>
      <c r="B1679" s="481"/>
      <c r="C1679" s="485"/>
    </row>
    <row r="1680" spans="1:3">
      <c r="A1680" s="481"/>
      <c r="B1680" s="481"/>
      <c r="C1680" s="485"/>
    </row>
    <row r="1681" spans="1:3">
      <c r="A1681" s="481"/>
      <c r="B1681" s="481"/>
      <c r="C1681" s="485"/>
    </row>
    <row r="1682" spans="1:3">
      <c r="A1682" s="481"/>
      <c r="B1682" s="481"/>
      <c r="C1682" s="485"/>
    </row>
    <row r="1683" spans="1:3">
      <c r="A1683" s="481"/>
      <c r="B1683" s="481"/>
      <c r="C1683" s="485"/>
    </row>
    <row r="1684" spans="1:3">
      <c r="A1684" s="481"/>
      <c r="B1684" s="481"/>
      <c r="C1684" s="485"/>
    </row>
    <row r="1685" spans="1:3">
      <c r="A1685" s="481"/>
      <c r="B1685" s="481"/>
      <c r="C1685" s="485"/>
    </row>
    <row r="1686" spans="1:3">
      <c r="A1686" s="481"/>
      <c r="B1686" s="481"/>
      <c r="C1686" s="485"/>
    </row>
    <row r="1687" spans="1:3">
      <c r="A1687" s="481"/>
      <c r="B1687" s="481"/>
      <c r="C1687" s="485"/>
    </row>
    <row r="1688" spans="1:3">
      <c r="A1688" s="481"/>
      <c r="B1688" s="481"/>
      <c r="C1688" s="485"/>
    </row>
    <row r="1689" spans="1:3">
      <c r="A1689" s="481"/>
      <c r="B1689" s="481"/>
      <c r="C1689" s="485"/>
    </row>
    <row r="1690" spans="1:3">
      <c r="A1690" s="481"/>
      <c r="B1690" s="481"/>
      <c r="C1690" s="485"/>
    </row>
    <row r="1691" spans="1:3">
      <c r="A1691" s="481"/>
      <c r="B1691" s="481"/>
      <c r="C1691" s="485"/>
    </row>
    <row r="1692" spans="1:3">
      <c r="A1692" s="481"/>
      <c r="B1692" s="481"/>
      <c r="C1692" s="485"/>
    </row>
    <row r="1693" spans="1:3">
      <c r="A1693" s="481"/>
      <c r="B1693" s="481"/>
      <c r="C1693" s="485"/>
    </row>
    <row r="1694" spans="1:3">
      <c r="A1694" s="481"/>
      <c r="B1694" s="481"/>
      <c r="C1694" s="485"/>
    </row>
    <row r="1695" spans="1:3">
      <c r="A1695" s="481"/>
      <c r="B1695" s="481"/>
      <c r="C1695" s="485"/>
    </row>
    <row r="1696" spans="1:3">
      <c r="A1696" s="481"/>
      <c r="B1696" s="481"/>
      <c r="C1696" s="485"/>
    </row>
    <row r="1697" spans="1:3">
      <c r="A1697" s="481"/>
      <c r="B1697" s="481"/>
      <c r="C1697" s="485"/>
    </row>
    <row r="1698" spans="1:3">
      <c r="A1698" s="481"/>
      <c r="B1698" s="481"/>
      <c r="C1698" s="485"/>
    </row>
    <row r="1699" spans="1:3">
      <c r="A1699" s="481"/>
      <c r="B1699" s="481"/>
      <c r="C1699" s="485"/>
    </row>
    <row r="1700" spans="1:3">
      <c r="A1700" s="481"/>
      <c r="B1700" s="481"/>
      <c r="C1700" s="485"/>
    </row>
    <row r="1701" spans="1:3">
      <c r="A1701" s="481"/>
      <c r="B1701" s="481"/>
      <c r="C1701" s="485"/>
    </row>
    <row r="1702" spans="1:3">
      <c r="A1702" s="481"/>
      <c r="B1702" s="481"/>
      <c r="C1702" s="485"/>
    </row>
    <row r="1703" spans="1:3">
      <c r="A1703" s="481"/>
      <c r="B1703" s="481"/>
      <c r="C1703" s="485"/>
    </row>
    <row r="1704" spans="1:3">
      <c r="A1704" s="481"/>
      <c r="B1704" s="481"/>
      <c r="C1704" s="485"/>
    </row>
    <row r="1705" spans="1:3">
      <c r="A1705" s="481"/>
      <c r="B1705" s="481"/>
      <c r="C1705" s="485"/>
    </row>
    <row r="1706" spans="1:3">
      <c r="A1706" s="481"/>
      <c r="B1706" s="481"/>
      <c r="C1706" s="485"/>
    </row>
    <row r="1707" spans="1:3">
      <c r="A1707" s="481"/>
      <c r="B1707" s="481"/>
      <c r="C1707" s="485"/>
    </row>
    <row r="1708" spans="1:3">
      <c r="A1708" s="481"/>
      <c r="B1708" s="481"/>
      <c r="C1708" s="485"/>
    </row>
    <row r="1709" spans="1:3">
      <c r="A1709" s="481"/>
      <c r="B1709" s="481"/>
      <c r="C1709" s="485"/>
    </row>
    <row r="1710" spans="1:3">
      <c r="A1710" s="481"/>
      <c r="B1710" s="481"/>
      <c r="C1710" s="485"/>
    </row>
    <row r="1711" spans="1:3">
      <c r="A1711" s="481"/>
      <c r="B1711" s="481"/>
      <c r="C1711" s="485"/>
    </row>
    <row r="1712" spans="1:3">
      <c r="A1712" s="481"/>
      <c r="B1712" s="481"/>
      <c r="C1712" s="485"/>
    </row>
    <row r="1713" spans="1:3">
      <c r="A1713" s="481"/>
      <c r="B1713" s="481"/>
      <c r="C1713" s="485"/>
    </row>
    <row r="1714" spans="1:3">
      <c r="A1714" s="481"/>
      <c r="B1714" s="481"/>
      <c r="C1714" s="485"/>
    </row>
    <row r="1715" spans="1:3">
      <c r="A1715" s="481"/>
      <c r="B1715" s="481"/>
      <c r="C1715" s="485"/>
    </row>
    <row r="1716" spans="1:3">
      <c r="A1716" s="481"/>
      <c r="B1716" s="481"/>
      <c r="C1716" s="485"/>
    </row>
    <row r="1717" spans="1:3">
      <c r="A1717" s="481"/>
      <c r="B1717" s="481"/>
      <c r="C1717" s="485"/>
    </row>
    <row r="1718" spans="1:3">
      <c r="A1718" s="481"/>
      <c r="B1718" s="481"/>
      <c r="C1718" s="485"/>
    </row>
    <row r="1719" spans="1:3">
      <c r="A1719" s="481"/>
      <c r="B1719" s="481"/>
      <c r="C1719" s="485"/>
    </row>
    <row r="1720" spans="1:3">
      <c r="A1720" s="481"/>
      <c r="B1720" s="481"/>
      <c r="C1720" s="485"/>
    </row>
    <row r="1721" spans="1:3">
      <c r="A1721" s="481"/>
      <c r="B1721" s="481"/>
      <c r="C1721" s="485"/>
    </row>
    <row r="1722" spans="1:3">
      <c r="A1722" s="481"/>
      <c r="B1722" s="481"/>
      <c r="C1722" s="485"/>
    </row>
    <row r="1723" spans="1:3">
      <c r="A1723" s="481"/>
      <c r="B1723" s="481"/>
      <c r="C1723" s="485"/>
    </row>
    <row r="1724" spans="1:3">
      <c r="A1724" s="481"/>
      <c r="B1724" s="481"/>
      <c r="C1724" s="485"/>
    </row>
    <row r="1725" spans="1:3">
      <c r="A1725" s="481"/>
      <c r="B1725" s="481"/>
      <c r="C1725" s="485"/>
    </row>
    <row r="1726" spans="1:3">
      <c r="A1726" s="481"/>
      <c r="B1726" s="481"/>
      <c r="C1726" s="485"/>
    </row>
    <row r="1727" spans="1:3">
      <c r="A1727" s="481"/>
      <c r="B1727" s="481"/>
      <c r="C1727" s="485"/>
    </row>
    <row r="1728" spans="1:3">
      <c r="A1728" s="481"/>
      <c r="B1728" s="481"/>
      <c r="C1728" s="485"/>
    </row>
    <row r="1729" spans="1:3">
      <c r="A1729" s="481"/>
      <c r="B1729" s="481"/>
      <c r="C1729" s="485"/>
    </row>
    <row r="1730" spans="1:3">
      <c r="A1730" s="481"/>
      <c r="B1730" s="481"/>
      <c r="C1730" s="485"/>
    </row>
    <row r="1731" spans="1:3">
      <c r="A1731" s="481"/>
      <c r="B1731" s="481"/>
      <c r="C1731" s="485"/>
    </row>
    <row r="1732" spans="1:3">
      <c r="A1732" s="481"/>
      <c r="B1732" s="481"/>
      <c r="C1732" s="485"/>
    </row>
    <row r="1733" spans="1:3">
      <c r="A1733" s="481"/>
      <c r="B1733" s="481"/>
      <c r="C1733" s="485"/>
    </row>
    <row r="1734" spans="1:3">
      <c r="A1734" s="481"/>
      <c r="B1734" s="481"/>
      <c r="C1734" s="485"/>
    </row>
    <row r="1735" spans="1:3">
      <c r="A1735" s="481"/>
      <c r="B1735" s="481"/>
      <c r="C1735" s="485"/>
    </row>
    <row r="1736" spans="1:3">
      <c r="A1736" s="481"/>
      <c r="B1736" s="481"/>
      <c r="C1736" s="485"/>
    </row>
    <row r="1737" spans="1:3">
      <c r="A1737" s="481"/>
      <c r="B1737" s="481"/>
      <c r="C1737" s="485"/>
    </row>
    <row r="1738" spans="1:3">
      <c r="A1738" s="481"/>
      <c r="B1738" s="481"/>
      <c r="C1738" s="485"/>
    </row>
    <row r="1739" spans="1:3">
      <c r="A1739" s="481"/>
      <c r="B1739" s="481"/>
      <c r="C1739" s="485"/>
    </row>
    <row r="1740" spans="1:3">
      <c r="A1740" s="481"/>
      <c r="B1740" s="481"/>
      <c r="C1740" s="485"/>
    </row>
    <row r="1741" spans="1:3">
      <c r="A1741" s="481"/>
      <c r="B1741" s="481"/>
      <c r="C1741" s="485"/>
    </row>
    <row r="1742" spans="1:3">
      <c r="A1742" s="481"/>
      <c r="B1742" s="481"/>
      <c r="C1742" s="485"/>
    </row>
    <row r="1743" spans="1:3">
      <c r="A1743" s="481"/>
      <c r="B1743" s="481"/>
      <c r="C1743" s="485"/>
    </row>
    <row r="1744" spans="1:3">
      <c r="A1744" s="481"/>
      <c r="B1744" s="481"/>
      <c r="C1744" s="485"/>
    </row>
    <row r="1745" spans="1:3">
      <c r="A1745" s="481"/>
      <c r="B1745" s="481"/>
      <c r="C1745" s="485"/>
    </row>
    <row r="1746" spans="1:3">
      <c r="A1746" s="481"/>
      <c r="B1746" s="481"/>
      <c r="C1746" s="485"/>
    </row>
    <row r="1747" spans="1:3">
      <c r="A1747" s="481"/>
      <c r="B1747" s="481"/>
      <c r="C1747" s="485"/>
    </row>
    <row r="1748" spans="1:3">
      <c r="A1748" s="481"/>
      <c r="B1748" s="481"/>
      <c r="C1748" s="485"/>
    </row>
    <row r="1749" spans="1:3">
      <c r="A1749" s="481"/>
      <c r="B1749" s="481"/>
      <c r="C1749" s="485"/>
    </row>
    <row r="1750" spans="1:3">
      <c r="A1750" s="481"/>
      <c r="B1750" s="481"/>
      <c r="C1750" s="485"/>
    </row>
    <row r="1751" spans="1:3">
      <c r="A1751" s="481"/>
      <c r="B1751" s="481"/>
      <c r="C1751" s="485"/>
    </row>
    <row r="1752" spans="1:3">
      <c r="A1752" s="481"/>
      <c r="B1752" s="481"/>
      <c r="C1752" s="485"/>
    </row>
    <row r="1753" spans="1:3">
      <c r="A1753" s="481"/>
      <c r="B1753" s="481"/>
      <c r="C1753" s="485"/>
    </row>
    <row r="1754" spans="1:3">
      <c r="A1754" s="481"/>
      <c r="B1754" s="481"/>
      <c r="C1754" s="485"/>
    </row>
    <row r="1755" spans="1:3">
      <c r="A1755" s="481"/>
      <c r="B1755" s="481"/>
      <c r="C1755" s="485"/>
    </row>
    <row r="1756" spans="1:3">
      <c r="A1756" s="481"/>
      <c r="B1756" s="481"/>
      <c r="C1756" s="485"/>
    </row>
    <row r="1757" spans="1:3">
      <c r="A1757" s="481"/>
      <c r="B1757" s="481"/>
      <c r="C1757" s="485"/>
    </row>
    <row r="1758" spans="1:3">
      <c r="A1758" s="481"/>
      <c r="B1758" s="481"/>
      <c r="C1758" s="485"/>
    </row>
    <row r="1759" spans="1:3">
      <c r="A1759" s="481"/>
      <c r="B1759" s="481"/>
      <c r="C1759" s="485"/>
    </row>
    <row r="1760" spans="1:3">
      <c r="A1760" s="481"/>
      <c r="B1760" s="481"/>
      <c r="C1760" s="485"/>
    </row>
    <row r="1761" spans="1:3">
      <c r="A1761" s="481"/>
      <c r="B1761" s="481"/>
      <c r="C1761" s="485"/>
    </row>
    <row r="1762" spans="1:3">
      <c r="A1762" s="481"/>
      <c r="B1762" s="481"/>
      <c r="C1762" s="485"/>
    </row>
    <row r="1763" spans="1:3">
      <c r="A1763" s="481"/>
      <c r="B1763" s="481"/>
      <c r="C1763" s="485"/>
    </row>
    <row r="1764" spans="1:3">
      <c r="A1764" s="481"/>
      <c r="B1764" s="481"/>
      <c r="C1764" s="485"/>
    </row>
    <row r="1765" spans="1:3">
      <c r="A1765" s="481"/>
      <c r="B1765" s="481"/>
      <c r="C1765" s="485"/>
    </row>
    <row r="1766" spans="1:3">
      <c r="A1766" s="481"/>
      <c r="B1766" s="481"/>
      <c r="C1766" s="485"/>
    </row>
    <row r="1767" spans="1:3">
      <c r="A1767" s="481"/>
      <c r="B1767" s="481"/>
      <c r="C1767" s="485"/>
    </row>
    <row r="1768" spans="1:3">
      <c r="A1768" s="481"/>
      <c r="B1768" s="481"/>
      <c r="C1768" s="485"/>
    </row>
    <row r="1769" spans="1:3">
      <c r="A1769" s="481"/>
      <c r="B1769" s="481"/>
      <c r="C1769" s="485"/>
    </row>
    <row r="1770" spans="1:3">
      <c r="A1770" s="481"/>
      <c r="B1770" s="481"/>
      <c r="C1770" s="485"/>
    </row>
    <row r="1771" spans="1:3">
      <c r="A1771" s="481"/>
      <c r="B1771" s="481"/>
      <c r="C1771" s="485"/>
    </row>
    <row r="1772" spans="1:3">
      <c r="A1772" s="481"/>
      <c r="B1772" s="481"/>
      <c r="C1772" s="485"/>
    </row>
    <row r="1773" spans="1:3">
      <c r="A1773" s="481"/>
      <c r="B1773" s="481"/>
      <c r="C1773" s="485"/>
    </row>
    <row r="1774" spans="1:3">
      <c r="A1774" s="481"/>
      <c r="B1774" s="481"/>
      <c r="C1774" s="485"/>
    </row>
    <row r="1775" spans="1:3">
      <c r="A1775" s="481"/>
      <c r="B1775" s="481"/>
      <c r="C1775" s="485"/>
    </row>
    <row r="1776" spans="1:3">
      <c r="A1776" s="481"/>
      <c r="B1776" s="481"/>
      <c r="C1776" s="485"/>
    </row>
    <row r="1777" spans="1:3">
      <c r="A1777" s="481"/>
      <c r="B1777" s="481"/>
      <c r="C1777" s="485"/>
    </row>
    <row r="1778" spans="1:3">
      <c r="A1778" s="481"/>
      <c r="B1778" s="481"/>
      <c r="C1778" s="485"/>
    </row>
    <row r="1779" spans="1:3">
      <c r="A1779" s="481"/>
      <c r="B1779" s="481"/>
      <c r="C1779" s="485"/>
    </row>
    <row r="1780" spans="1:3">
      <c r="A1780" s="481"/>
      <c r="B1780" s="481"/>
      <c r="C1780" s="485"/>
    </row>
    <row r="1781" spans="1:3">
      <c r="A1781" s="481"/>
      <c r="B1781" s="481"/>
      <c r="C1781" s="485"/>
    </row>
    <row r="1782" spans="1:3">
      <c r="A1782" s="481"/>
      <c r="B1782" s="481"/>
      <c r="C1782" s="485"/>
    </row>
    <row r="1783" spans="1:3">
      <c r="A1783" s="481"/>
      <c r="B1783" s="481"/>
      <c r="C1783" s="485"/>
    </row>
    <row r="1784" spans="1:3">
      <c r="A1784" s="481"/>
      <c r="B1784" s="481"/>
      <c r="C1784" s="485"/>
    </row>
    <row r="1785" spans="1:3">
      <c r="A1785" s="481"/>
      <c r="B1785" s="481"/>
      <c r="C1785" s="485"/>
    </row>
    <row r="1786" spans="1:3">
      <c r="A1786" s="481"/>
      <c r="B1786" s="481"/>
      <c r="C1786" s="485"/>
    </row>
    <row r="1787" spans="1:3">
      <c r="A1787" s="481"/>
      <c r="B1787" s="481"/>
      <c r="C1787" s="485"/>
    </row>
    <row r="1788" spans="1:3">
      <c r="A1788" s="481"/>
      <c r="B1788" s="481"/>
      <c r="C1788" s="485"/>
    </row>
    <row r="1789" spans="1:3">
      <c r="A1789" s="481"/>
      <c r="B1789" s="481"/>
      <c r="C1789" s="485"/>
    </row>
    <row r="1790" spans="1:3">
      <c r="A1790" s="481"/>
      <c r="B1790" s="481"/>
      <c r="C1790" s="485"/>
    </row>
    <row r="1791" spans="1:3">
      <c r="A1791" s="481"/>
      <c r="B1791" s="481"/>
      <c r="C1791" s="485"/>
    </row>
    <row r="1792" spans="1:3">
      <c r="A1792" s="481"/>
      <c r="B1792" s="481"/>
      <c r="C1792" s="485"/>
    </row>
    <row r="1793" spans="1:3">
      <c r="A1793" s="481"/>
      <c r="B1793" s="481"/>
      <c r="C1793" s="485"/>
    </row>
    <row r="1794" spans="1:3">
      <c r="A1794" s="481"/>
      <c r="B1794" s="481"/>
      <c r="C1794" s="485"/>
    </row>
    <row r="1795" spans="1:3">
      <c r="A1795" s="481"/>
      <c r="B1795" s="481"/>
      <c r="C1795" s="485"/>
    </row>
    <row r="1796" spans="1:3">
      <c r="A1796" s="481"/>
      <c r="B1796" s="481"/>
      <c r="C1796" s="485"/>
    </row>
    <row r="1797" spans="1:3">
      <c r="A1797" s="481"/>
      <c r="B1797" s="481"/>
      <c r="C1797" s="485"/>
    </row>
    <row r="1798" spans="1:3">
      <c r="A1798" s="481"/>
      <c r="B1798" s="481"/>
      <c r="C1798" s="485"/>
    </row>
    <row r="1799" spans="1:3">
      <c r="A1799" s="481"/>
      <c r="B1799" s="481"/>
      <c r="C1799" s="485"/>
    </row>
    <row r="1800" spans="1:3">
      <c r="A1800" s="481"/>
      <c r="B1800" s="481"/>
      <c r="C1800" s="485"/>
    </row>
    <row r="1801" spans="1:3">
      <c r="A1801" s="481"/>
      <c r="B1801" s="481"/>
      <c r="C1801" s="485"/>
    </row>
    <row r="1802" spans="1:3">
      <c r="A1802" s="481"/>
      <c r="B1802" s="481"/>
      <c r="C1802" s="485"/>
    </row>
    <row r="1803" spans="1:3">
      <c r="A1803" s="481"/>
      <c r="B1803" s="481"/>
      <c r="C1803" s="485"/>
    </row>
    <row r="1804" spans="1:3">
      <c r="A1804" s="481"/>
      <c r="B1804" s="481"/>
      <c r="C1804" s="485"/>
    </row>
    <row r="1805" spans="1:3">
      <c r="A1805" s="481"/>
      <c r="B1805" s="481"/>
      <c r="C1805" s="485"/>
    </row>
    <row r="1806" spans="1:3">
      <c r="A1806" s="481"/>
      <c r="B1806" s="481"/>
      <c r="C1806" s="485"/>
    </row>
    <row r="1807" spans="1:3">
      <c r="A1807" s="481"/>
      <c r="B1807" s="481"/>
      <c r="C1807" s="485"/>
    </row>
    <row r="1808" spans="1:3">
      <c r="A1808" s="481"/>
      <c r="B1808" s="481"/>
      <c r="C1808" s="485"/>
    </row>
    <row r="1809" spans="1:3">
      <c r="A1809" s="481"/>
      <c r="B1809" s="481"/>
      <c r="C1809" s="485"/>
    </row>
    <row r="1810" spans="1:3">
      <c r="A1810" s="481"/>
      <c r="B1810" s="481"/>
      <c r="C1810" s="485"/>
    </row>
    <row r="1811" spans="1:3">
      <c r="A1811" s="481"/>
      <c r="B1811" s="481"/>
      <c r="C1811" s="485"/>
    </row>
    <row r="1812" spans="1:3">
      <c r="A1812" s="481"/>
      <c r="B1812" s="481"/>
      <c r="C1812" s="485"/>
    </row>
    <row r="1813" spans="1:3">
      <c r="A1813" s="481"/>
      <c r="B1813" s="481"/>
      <c r="C1813" s="485"/>
    </row>
    <row r="1814" spans="1:3">
      <c r="A1814" s="481"/>
      <c r="B1814" s="481"/>
      <c r="C1814" s="485"/>
    </row>
    <row r="1815" spans="1:3">
      <c r="A1815" s="481"/>
      <c r="B1815" s="481"/>
      <c r="C1815" s="485"/>
    </row>
    <row r="1816" spans="1:3">
      <c r="A1816" s="481"/>
      <c r="B1816" s="481"/>
      <c r="C1816" s="485"/>
    </row>
    <row r="1817" spans="1:3">
      <c r="A1817" s="481"/>
      <c r="B1817" s="481"/>
      <c r="C1817" s="485"/>
    </row>
    <row r="1818" spans="1:3">
      <c r="A1818" s="481"/>
      <c r="B1818" s="481"/>
      <c r="C1818" s="485"/>
    </row>
    <row r="1819" spans="1:3">
      <c r="A1819" s="481"/>
      <c r="B1819" s="481"/>
      <c r="C1819" s="485"/>
    </row>
    <row r="1820" spans="1:3">
      <c r="A1820" s="481"/>
      <c r="B1820" s="481"/>
      <c r="C1820" s="485"/>
    </row>
    <row r="1821" spans="1:3">
      <c r="A1821" s="481"/>
      <c r="B1821" s="481"/>
      <c r="C1821" s="485"/>
    </row>
    <row r="1822" spans="1:3">
      <c r="A1822" s="481"/>
      <c r="B1822" s="481"/>
      <c r="C1822" s="485"/>
    </row>
    <row r="1823" spans="1:3">
      <c r="A1823" s="481"/>
      <c r="B1823" s="481"/>
      <c r="C1823" s="485"/>
    </row>
    <row r="1824" spans="1:3">
      <c r="A1824" s="481"/>
      <c r="B1824" s="481"/>
      <c r="C1824" s="485"/>
    </row>
    <row r="1825" spans="1:3">
      <c r="A1825" s="481"/>
      <c r="B1825" s="481"/>
      <c r="C1825" s="485"/>
    </row>
    <row r="1826" spans="1:3">
      <c r="A1826" s="481"/>
      <c r="B1826" s="481"/>
      <c r="C1826" s="485"/>
    </row>
    <row r="1827" spans="1:3">
      <c r="A1827" s="481"/>
      <c r="B1827" s="481"/>
      <c r="C1827" s="485"/>
    </row>
    <row r="1828" spans="1:3">
      <c r="A1828" s="481"/>
      <c r="B1828" s="481"/>
      <c r="C1828" s="485"/>
    </row>
    <row r="1829" spans="1:3">
      <c r="A1829" s="481"/>
      <c r="B1829" s="481"/>
      <c r="C1829" s="485"/>
    </row>
    <row r="1830" spans="1:3">
      <c r="A1830" s="481"/>
      <c r="B1830" s="481"/>
      <c r="C1830" s="485"/>
    </row>
    <row r="1831" spans="1:3">
      <c r="A1831" s="481"/>
      <c r="B1831" s="481"/>
      <c r="C1831" s="485"/>
    </row>
    <row r="1832" spans="1:3">
      <c r="A1832" s="481"/>
      <c r="B1832" s="481"/>
      <c r="C1832" s="485"/>
    </row>
    <row r="1833" spans="1:3">
      <c r="A1833" s="481"/>
      <c r="B1833" s="481"/>
      <c r="C1833" s="485"/>
    </row>
    <row r="1834" spans="1:3">
      <c r="A1834" s="481"/>
      <c r="B1834" s="481"/>
      <c r="C1834" s="485"/>
    </row>
    <row r="1835" spans="1:3">
      <c r="A1835" s="481"/>
      <c r="B1835" s="481"/>
      <c r="C1835" s="485"/>
    </row>
    <row r="1836" spans="1:3">
      <c r="A1836" s="481"/>
      <c r="B1836" s="481"/>
      <c r="C1836" s="485"/>
    </row>
    <row r="1837" spans="1:3">
      <c r="A1837" s="481"/>
      <c r="B1837" s="481"/>
      <c r="C1837" s="485"/>
    </row>
    <row r="1838" spans="1:3">
      <c r="A1838" s="481"/>
      <c r="B1838" s="481"/>
      <c r="C1838" s="485"/>
    </row>
    <row r="1839" spans="1:3">
      <c r="A1839" s="481"/>
      <c r="B1839" s="481"/>
      <c r="C1839" s="485"/>
    </row>
    <row r="1840" spans="1:3">
      <c r="A1840" s="481"/>
      <c r="B1840" s="481"/>
      <c r="C1840" s="485"/>
    </row>
    <row r="1841" spans="1:3">
      <c r="A1841" s="481"/>
      <c r="B1841" s="481"/>
      <c r="C1841" s="485"/>
    </row>
    <row r="1842" spans="1:3">
      <c r="A1842" s="481"/>
      <c r="B1842" s="481"/>
      <c r="C1842" s="485"/>
    </row>
    <row r="1843" spans="1:3">
      <c r="A1843" s="481"/>
      <c r="B1843" s="481"/>
      <c r="C1843" s="485"/>
    </row>
    <row r="1844" spans="1:3">
      <c r="A1844" s="481"/>
      <c r="B1844" s="481"/>
      <c r="C1844" s="485"/>
    </row>
    <row r="1845" spans="1:3">
      <c r="A1845" s="481"/>
      <c r="B1845" s="481"/>
      <c r="C1845" s="485"/>
    </row>
    <row r="1846" spans="1:3">
      <c r="A1846" s="481"/>
      <c r="B1846" s="481"/>
      <c r="C1846" s="485"/>
    </row>
    <row r="1847" spans="1:3">
      <c r="A1847" s="481"/>
      <c r="B1847" s="481"/>
      <c r="C1847" s="485"/>
    </row>
    <row r="1848" spans="1:3">
      <c r="A1848" s="481"/>
      <c r="B1848" s="481"/>
      <c r="C1848" s="485"/>
    </row>
    <row r="1849" spans="1:3">
      <c r="A1849" s="481"/>
      <c r="B1849" s="481"/>
      <c r="C1849" s="485"/>
    </row>
    <row r="1850" spans="1:3">
      <c r="A1850" s="481"/>
      <c r="B1850" s="481"/>
      <c r="C1850" s="485"/>
    </row>
    <row r="1851" spans="1:3">
      <c r="A1851" s="481"/>
      <c r="B1851" s="481"/>
      <c r="C1851" s="485"/>
    </row>
    <row r="1852" spans="1:3">
      <c r="A1852" s="481"/>
      <c r="B1852" s="481"/>
      <c r="C1852" s="485"/>
    </row>
    <row r="1853" spans="1:3">
      <c r="A1853" s="481"/>
      <c r="B1853" s="481"/>
      <c r="C1853" s="485"/>
    </row>
    <row r="1854" spans="1:3">
      <c r="A1854" s="481"/>
      <c r="B1854" s="481"/>
      <c r="C1854" s="485"/>
    </row>
    <row r="1855" spans="1:3">
      <c r="A1855" s="481"/>
      <c r="B1855" s="481"/>
      <c r="C1855" s="485"/>
    </row>
    <row r="1856" spans="1:3">
      <c r="A1856" s="481"/>
      <c r="B1856" s="481"/>
      <c r="C1856" s="485"/>
    </row>
    <row r="1857" spans="1:3">
      <c r="A1857" s="481"/>
      <c r="B1857" s="481"/>
      <c r="C1857" s="485"/>
    </row>
    <row r="1858" spans="1:3">
      <c r="A1858" s="481"/>
      <c r="B1858" s="481"/>
      <c r="C1858" s="485"/>
    </row>
    <row r="1859" spans="1:3">
      <c r="A1859" s="481"/>
      <c r="B1859" s="481"/>
      <c r="C1859" s="485"/>
    </row>
    <row r="1860" spans="1:3">
      <c r="A1860" s="481"/>
      <c r="B1860" s="481"/>
      <c r="C1860" s="485"/>
    </row>
    <row r="1861" spans="1:3">
      <c r="A1861" s="481"/>
      <c r="B1861" s="481"/>
      <c r="C1861" s="485"/>
    </row>
    <row r="1862" spans="1:3">
      <c r="A1862" s="481"/>
      <c r="B1862" s="481"/>
      <c r="C1862" s="485"/>
    </row>
    <row r="1863" spans="1:3">
      <c r="A1863" s="481"/>
      <c r="B1863" s="481"/>
      <c r="C1863" s="485"/>
    </row>
    <row r="1864" spans="1:3">
      <c r="A1864" s="481"/>
      <c r="B1864" s="481"/>
      <c r="C1864" s="485"/>
    </row>
    <row r="1865" spans="1:3">
      <c r="A1865" s="481"/>
      <c r="B1865" s="481"/>
      <c r="C1865" s="485"/>
    </row>
    <row r="1866" spans="1:3">
      <c r="A1866" s="481"/>
      <c r="B1866" s="481"/>
      <c r="C1866" s="485"/>
    </row>
    <row r="1867" spans="1:3">
      <c r="A1867" s="481"/>
      <c r="B1867" s="481"/>
      <c r="C1867" s="485"/>
    </row>
    <row r="1868" spans="1:3">
      <c r="A1868" s="481"/>
      <c r="B1868" s="481"/>
      <c r="C1868" s="485"/>
    </row>
    <row r="1869" spans="1:3">
      <c r="A1869" s="481"/>
      <c r="B1869" s="481"/>
      <c r="C1869" s="485"/>
    </row>
    <row r="1870" spans="1:3">
      <c r="A1870" s="481"/>
      <c r="B1870" s="481"/>
      <c r="C1870" s="485"/>
    </row>
    <row r="1871" spans="1:3">
      <c r="A1871" s="481"/>
      <c r="B1871" s="481"/>
      <c r="C1871" s="485"/>
    </row>
    <row r="1872" spans="1:3">
      <c r="A1872" s="481"/>
      <c r="B1872" s="481"/>
      <c r="C1872" s="485"/>
    </row>
    <row r="1873" spans="1:3">
      <c r="A1873" s="481"/>
      <c r="B1873" s="481"/>
      <c r="C1873" s="485"/>
    </row>
    <row r="1874" spans="1:3">
      <c r="A1874" s="481"/>
      <c r="B1874" s="481"/>
      <c r="C1874" s="485"/>
    </row>
    <row r="1875" spans="1:3">
      <c r="A1875" s="481"/>
      <c r="B1875" s="481"/>
      <c r="C1875" s="485"/>
    </row>
    <row r="1876" spans="1:3">
      <c r="A1876" s="481"/>
      <c r="B1876" s="481"/>
      <c r="C1876" s="485"/>
    </row>
    <row r="1877" spans="1:3">
      <c r="A1877" s="481"/>
      <c r="B1877" s="481"/>
      <c r="C1877" s="485"/>
    </row>
    <row r="1878" spans="1:3">
      <c r="A1878" s="481"/>
      <c r="B1878" s="481"/>
      <c r="C1878" s="485"/>
    </row>
    <row r="1879" spans="1:3">
      <c r="A1879" s="481"/>
      <c r="B1879" s="481"/>
      <c r="C1879" s="485"/>
    </row>
    <row r="1880" spans="1:3">
      <c r="A1880" s="481"/>
      <c r="B1880" s="481"/>
      <c r="C1880" s="485"/>
    </row>
    <row r="1881" spans="1:3">
      <c r="A1881" s="481"/>
      <c r="B1881" s="481"/>
      <c r="C1881" s="485"/>
    </row>
    <row r="1882" spans="1:3">
      <c r="A1882" s="481"/>
      <c r="B1882" s="481"/>
      <c r="C1882" s="485"/>
    </row>
    <row r="1883" spans="1:3">
      <c r="A1883" s="481"/>
      <c r="B1883" s="481"/>
      <c r="C1883" s="485"/>
    </row>
    <row r="1884" spans="1:3">
      <c r="A1884" s="481"/>
      <c r="B1884" s="481"/>
      <c r="C1884" s="485"/>
    </row>
    <row r="1885" spans="1:3">
      <c r="A1885" s="481"/>
      <c r="B1885" s="481"/>
      <c r="C1885" s="485"/>
    </row>
    <row r="1886" spans="1:3">
      <c r="A1886" s="481"/>
      <c r="B1886" s="481"/>
      <c r="C1886" s="485"/>
    </row>
    <row r="1887" spans="1:3">
      <c r="A1887" s="481"/>
      <c r="B1887" s="481"/>
      <c r="C1887" s="485"/>
    </row>
    <row r="1888" spans="1:3">
      <c r="A1888" s="481"/>
      <c r="B1888" s="481"/>
      <c r="C1888" s="485"/>
    </row>
    <row r="1889" spans="1:3">
      <c r="A1889" s="481"/>
      <c r="B1889" s="481"/>
      <c r="C1889" s="485"/>
    </row>
    <row r="1890" spans="1:3">
      <c r="A1890" s="481"/>
      <c r="B1890" s="481"/>
      <c r="C1890" s="485"/>
    </row>
    <row r="1891" spans="1:3">
      <c r="A1891" s="481"/>
      <c r="B1891" s="481"/>
      <c r="C1891" s="485"/>
    </row>
    <row r="1892" spans="1:3">
      <c r="A1892" s="481"/>
      <c r="B1892" s="481"/>
      <c r="C1892" s="485"/>
    </row>
    <row r="1893" spans="1:3">
      <c r="A1893" s="481"/>
      <c r="B1893" s="481"/>
      <c r="C1893" s="485"/>
    </row>
    <row r="1894" spans="1:3">
      <c r="A1894" s="481"/>
      <c r="B1894" s="481"/>
      <c r="C1894" s="485"/>
    </row>
    <row r="1895" spans="1:3">
      <c r="A1895" s="481"/>
      <c r="B1895" s="481"/>
      <c r="C1895" s="485"/>
    </row>
    <row r="1896" spans="1:3">
      <c r="A1896" s="481"/>
      <c r="B1896" s="481"/>
      <c r="C1896" s="485"/>
    </row>
    <row r="1897" spans="1:3">
      <c r="A1897" s="481"/>
      <c r="B1897" s="481"/>
      <c r="C1897" s="485"/>
    </row>
    <row r="1898" spans="1:3">
      <c r="A1898" s="481"/>
      <c r="B1898" s="481"/>
      <c r="C1898" s="485"/>
    </row>
    <row r="1899" spans="1:3">
      <c r="A1899" s="481"/>
      <c r="B1899" s="481"/>
      <c r="C1899" s="485"/>
    </row>
    <row r="1900" spans="1:3">
      <c r="A1900" s="481"/>
      <c r="B1900" s="481"/>
      <c r="C1900" s="485"/>
    </row>
    <row r="1901" spans="1:3">
      <c r="A1901" s="481"/>
      <c r="B1901" s="481"/>
      <c r="C1901" s="485"/>
    </row>
    <row r="1902" spans="1:3">
      <c r="A1902" s="481"/>
      <c r="B1902" s="481"/>
      <c r="C1902" s="485"/>
    </row>
    <row r="1903" spans="1:3">
      <c r="A1903" s="481"/>
      <c r="B1903" s="481"/>
      <c r="C1903" s="485"/>
    </row>
    <row r="1904" spans="1:3">
      <c r="A1904" s="481"/>
      <c r="B1904" s="481"/>
      <c r="C1904" s="485"/>
    </row>
    <row r="1905" spans="1:3">
      <c r="A1905" s="481"/>
      <c r="B1905" s="481"/>
      <c r="C1905" s="485"/>
    </row>
    <row r="1906" spans="1:3">
      <c r="A1906" s="481"/>
      <c r="B1906" s="481"/>
      <c r="C1906" s="485"/>
    </row>
    <row r="1907" spans="1:3">
      <c r="A1907" s="481"/>
      <c r="B1907" s="481"/>
      <c r="C1907" s="485"/>
    </row>
    <row r="1908" spans="1:3">
      <c r="A1908" s="481"/>
      <c r="B1908" s="481"/>
      <c r="C1908" s="485"/>
    </row>
    <row r="1909" spans="1:3">
      <c r="A1909" s="481"/>
      <c r="B1909" s="481"/>
      <c r="C1909" s="485"/>
    </row>
    <row r="1910" spans="1:3">
      <c r="A1910" s="481"/>
      <c r="B1910" s="481"/>
      <c r="C1910" s="485"/>
    </row>
    <row r="1911" spans="1:3">
      <c r="A1911" s="481"/>
      <c r="B1911" s="481"/>
      <c r="C1911" s="485"/>
    </row>
    <row r="1912" spans="1:3">
      <c r="A1912" s="481"/>
      <c r="B1912" s="481"/>
      <c r="C1912" s="485"/>
    </row>
    <row r="1913" spans="1:3">
      <c r="A1913" s="481"/>
      <c r="B1913" s="481"/>
      <c r="C1913" s="485"/>
    </row>
    <row r="1914" spans="1:3">
      <c r="A1914" s="481"/>
      <c r="B1914" s="481"/>
      <c r="C1914" s="485"/>
    </row>
    <row r="1915" spans="1:3">
      <c r="A1915" s="481"/>
      <c r="B1915" s="481"/>
      <c r="C1915" s="485"/>
    </row>
    <row r="1916" spans="1:3">
      <c r="A1916" s="481"/>
      <c r="B1916" s="481"/>
      <c r="C1916" s="485"/>
    </row>
    <row r="1917" spans="1:3">
      <c r="A1917" s="481"/>
      <c r="B1917" s="481"/>
      <c r="C1917" s="485"/>
    </row>
    <row r="1918" spans="1:3">
      <c r="A1918" s="481"/>
      <c r="B1918" s="481"/>
      <c r="C1918" s="485"/>
    </row>
    <row r="1919" spans="1:3">
      <c r="A1919" s="481"/>
      <c r="B1919" s="481"/>
      <c r="C1919" s="485"/>
    </row>
    <row r="1920" spans="1:3">
      <c r="A1920" s="481"/>
      <c r="B1920" s="481"/>
      <c r="C1920" s="485"/>
    </row>
    <row r="1921" spans="1:3">
      <c r="A1921" s="481"/>
      <c r="B1921" s="481"/>
      <c r="C1921" s="485"/>
    </row>
    <row r="1922" spans="1:3">
      <c r="A1922" s="481"/>
      <c r="B1922" s="481"/>
      <c r="C1922" s="485"/>
    </row>
    <row r="1923" spans="1:3">
      <c r="A1923" s="481"/>
      <c r="B1923" s="481"/>
      <c r="C1923" s="485"/>
    </row>
    <row r="1924" spans="1:3">
      <c r="A1924" s="481"/>
      <c r="B1924" s="481"/>
      <c r="C1924" s="485"/>
    </row>
    <row r="1925" spans="1:3">
      <c r="A1925" s="481"/>
      <c r="B1925" s="481"/>
      <c r="C1925" s="485"/>
    </row>
    <row r="1926" spans="1:3">
      <c r="A1926" s="481"/>
      <c r="B1926" s="481"/>
      <c r="C1926" s="485"/>
    </row>
    <row r="1927" spans="1:3">
      <c r="A1927" s="481"/>
      <c r="B1927" s="481"/>
      <c r="C1927" s="485"/>
    </row>
    <row r="1928" spans="1:3">
      <c r="A1928" s="481"/>
      <c r="B1928" s="481"/>
      <c r="C1928" s="485"/>
    </row>
    <row r="1929" spans="1:3">
      <c r="A1929" s="481"/>
      <c r="B1929" s="481"/>
      <c r="C1929" s="485"/>
    </row>
    <row r="1930" spans="1:3">
      <c r="A1930" s="481"/>
      <c r="B1930" s="481"/>
      <c r="C1930" s="485"/>
    </row>
    <row r="1931" spans="1:3">
      <c r="A1931" s="481"/>
      <c r="B1931" s="481"/>
      <c r="C1931" s="485"/>
    </row>
    <row r="1932" spans="1:3">
      <c r="A1932" s="481"/>
      <c r="B1932" s="481"/>
      <c r="C1932" s="485"/>
    </row>
    <row r="1933" spans="1:3">
      <c r="A1933" s="481"/>
      <c r="B1933" s="481"/>
      <c r="C1933" s="485"/>
    </row>
    <row r="1934" spans="1:3">
      <c r="A1934" s="481"/>
      <c r="B1934" s="481"/>
      <c r="C1934" s="485"/>
    </row>
    <row r="1935" spans="1:3">
      <c r="A1935" s="481"/>
      <c r="B1935" s="481"/>
      <c r="C1935" s="485"/>
    </row>
    <row r="1936" spans="1:3">
      <c r="A1936" s="481"/>
      <c r="B1936" s="481"/>
      <c r="C1936" s="485"/>
    </row>
    <row r="1937" spans="1:3">
      <c r="A1937" s="481"/>
      <c r="B1937" s="481"/>
      <c r="C1937" s="485"/>
    </row>
    <row r="1938" spans="1:3">
      <c r="A1938" s="481"/>
      <c r="B1938" s="481"/>
      <c r="C1938" s="485"/>
    </row>
    <row r="1939" spans="1:3">
      <c r="A1939" s="481"/>
      <c r="B1939" s="481"/>
      <c r="C1939" s="485"/>
    </row>
    <row r="1940" spans="1:3">
      <c r="A1940" s="481"/>
      <c r="B1940" s="481"/>
      <c r="C1940" s="485"/>
    </row>
    <row r="1941" spans="1:3">
      <c r="A1941" s="481"/>
      <c r="B1941" s="481"/>
      <c r="C1941" s="485"/>
    </row>
    <row r="1942" spans="1:3">
      <c r="A1942" s="481"/>
      <c r="B1942" s="481"/>
      <c r="C1942" s="485"/>
    </row>
    <row r="1943" spans="1:3">
      <c r="A1943" s="481"/>
      <c r="B1943" s="481"/>
      <c r="C1943" s="485"/>
    </row>
    <row r="1944" spans="1:3">
      <c r="A1944" s="481"/>
      <c r="B1944" s="481"/>
      <c r="C1944" s="485"/>
    </row>
    <row r="1945" spans="1:3">
      <c r="A1945" s="481"/>
      <c r="B1945" s="481"/>
      <c r="C1945" s="485"/>
    </row>
    <row r="1946" spans="1:3">
      <c r="A1946" s="481"/>
      <c r="B1946" s="481"/>
      <c r="C1946" s="485"/>
    </row>
    <row r="1947" spans="1:3">
      <c r="A1947" s="481"/>
      <c r="B1947" s="481"/>
      <c r="C1947" s="485"/>
    </row>
    <row r="1948" spans="1:3">
      <c r="A1948" s="481"/>
      <c r="B1948" s="481"/>
      <c r="C1948" s="485"/>
    </row>
    <row r="1949" spans="1:3">
      <c r="A1949" s="481"/>
      <c r="B1949" s="481"/>
      <c r="C1949" s="485"/>
    </row>
    <row r="1950" spans="1:3">
      <c r="A1950" s="481"/>
      <c r="B1950" s="481"/>
      <c r="C1950" s="485"/>
    </row>
    <row r="1951" spans="1:3">
      <c r="A1951" s="481"/>
      <c r="B1951" s="481"/>
      <c r="C1951" s="485"/>
    </row>
    <row r="1952" spans="1:3">
      <c r="A1952" s="481"/>
      <c r="B1952" s="481"/>
      <c r="C1952" s="485"/>
    </row>
    <row r="1953" spans="1:3">
      <c r="A1953" s="481"/>
      <c r="B1953" s="481"/>
      <c r="C1953" s="485"/>
    </row>
    <row r="1954" spans="1:3">
      <c r="A1954" s="481"/>
      <c r="B1954" s="481"/>
      <c r="C1954" s="485"/>
    </row>
    <row r="1955" spans="1:3">
      <c r="A1955" s="481"/>
      <c r="B1955" s="481"/>
      <c r="C1955" s="485"/>
    </row>
    <row r="1956" spans="1:3">
      <c r="A1956" s="481"/>
      <c r="B1956" s="481"/>
      <c r="C1956" s="485"/>
    </row>
    <row r="1957" spans="1:3">
      <c r="A1957" s="481"/>
      <c r="B1957" s="481"/>
      <c r="C1957" s="485"/>
    </row>
    <row r="1958" spans="1:3">
      <c r="A1958" s="481"/>
      <c r="B1958" s="481"/>
      <c r="C1958" s="485"/>
    </row>
    <row r="1959" spans="1:3">
      <c r="A1959" s="481"/>
      <c r="B1959" s="481"/>
      <c r="C1959" s="485"/>
    </row>
    <row r="1960" spans="1:3">
      <c r="A1960" s="481"/>
      <c r="B1960" s="481"/>
      <c r="C1960" s="485"/>
    </row>
    <row r="1961" spans="1:3">
      <c r="A1961" s="481"/>
      <c r="B1961" s="481"/>
      <c r="C1961" s="485"/>
    </row>
    <row r="1962" spans="1:3">
      <c r="A1962" s="481"/>
      <c r="B1962" s="481"/>
      <c r="C1962" s="485"/>
    </row>
    <row r="1963" spans="1:3">
      <c r="A1963" s="481"/>
      <c r="B1963" s="481"/>
      <c r="C1963" s="485"/>
    </row>
    <row r="1964" spans="1:3">
      <c r="A1964" s="481"/>
      <c r="B1964" s="481"/>
      <c r="C1964" s="485"/>
    </row>
    <row r="1965" spans="1:3">
      <c r="A1965" s="481"/>
      <c r="B1965" s="481"/>
      <c r="C1965" s="485"/>
    </row>
    <row r="1966" spans="1:3">
      <c r="A1966" s="481"/>
      <c r="B1966" s="481"/>
      <c r="C1966" s="485"/>
    </row>
    <row r="1967" spans="1:3">
      <c r="A1967" s="481"/>
      <c r="B1967" s="481"/>
      <c r="C1967" s="485"/>
    </row>
    <row r="1968" spans="1:3">
      <c r="A1968" s="481"/>
      <c r="B1968" s="481"/>
      <c r="C1968" s="485"/>
    </row>
    <row r="1969" spans="1:3">
      <c r="A1969" s="481"/>
      <c r="B1969" s="481"/>
      <c r="C1969" s="485"/>
    </row>
    <row r="1970" spans="1:3">
      <c r="A1970" s="481"/>
      <c r="B1970" s="481"/>
      <c r="C1970" s="485"/>
    </row>
    <row r="1971" spans="1:3">
      <c r="A1971" s="481"/>
      <c r="B1971" s="481"/>
      <c r="C1971" s="485"/>
    </row>
    <row r="1972" spans="1:3">
      <c r="A1972" s="481"/>
      <c r="B1972" s="481"/>
      <c r="C1972" s="485"/>
    </row>
    <row r="1973" spans="1:3">
      <c r="A1973" s="481"/>
      <c r="B1973" s="481"/>
      <c r="C1973" s="485"/>
    </row>
    <row r="1974" spans="1:3">
      <c r="A1974" s="481"/>
      <c r="B1974" s="481"/>
      <c r="C1974" s="485"/>
    </row>
    <row r="1975" spans="1:3">
      <c r="A1975" s="481"/>
      <c r="B1975" s="481"/>
      <c r="C1975" s="485"/>
    </row>
    <row r="1976" spans="1:3">
      <c r="A1976" s="481"/>
      <c r="B1976" s="481"/>
      <c r="C1976" s="485"/>
    </row>
    <row r="1977" spans="1:3">
      <c r="A1977" s="481"/>
      <c r="B1977" s="481"/>
      <c r="C1977" s="485"/>
    </row>
    <row r="1978" spans="1:3">
      <c r="A1978" s="481"/>
      <c r="B1978" s="481"/>
      <c r="C1978" s="485"/>
    </row>
    <row r="1979" spans="1:3">
      <c r="A1979" s="481"/>
      <c r="B1979" s="481"/>
      <c r="C1979" s="485"/>
    </row>
    <row r="1980" spans="1:3">
      <c r="A1980" s="481"/>
      <c r="B1980" s="481"/>
      <c r="C1980" s="485"/>
    </row>
    <row r="1981" spans="1:3">
      <c r="A1981" s="481"/>
      <c r="B1981" s="481"/>
      <c r="C1981" s="485"/>
    </row>
    <row r="1982" spans="1:3">
      <c r="A1982" s="481"/>
      <c r="B1982" s="481"/>
      <c r="C1982" s="485"/>
    </row>
    <row r="1983" spans="1:3">
      <c r="A1983" s="481"/>
      <c r="B1983" s="481"/>
      <c r="C1983" s="485"/>
    </row>
    <row r="1984" spans="1:3">
      <c r="A1984" s="481"/>
      <c r="B1984" s="481"/>
      <c r="C1984" s="485"/>
    </row>
    <row r="1985" spans="1:3">
      <c r="A1985" s="481"/>
      <c r="B1985" s="481"/>
      <c r="C1985" s="485"/>
    </row>
    <row r="1986" spans="1:3">
      <c r="A1986" s="481"/>
      <c r="B1986" s="481"/>
      <c r="C1986" s="485"/>
    </row>
    <row r="1987" spans="1:3">
      <c r="A1987" s="481"/>
      <c r="B1987" s="481"/>
      <c r="C1987" s="485"/>
    </row>
    <row r="1988" spans="1:3">
      <c r="A1988" s="481"/>
      <c r="B1988" s="481"/>
      <c r="C1988" s="485"/>
    </row>
    <row r="1989" spans="1:3">
      <c r="A1989" s="481"/>
      <c r="B1989" s="481"/>
      <c r="C1989" s="485"/>
    </row>
    <row r="1990" spans="1:3">
      <c r="A1990" s="481"/>
      <c r="B1990" s="481"/>
      <c r="C1990" s="485"/>
    </row>
    <row r="1991" spans="1:3">
      <c r="A1991" s="481"/>
      <c r="B1991" s="481"/>
      <c r="C1991" s="485"/>
    </row>
    <row r="1992" spans="1:3">
      <c r="A1992" s="481"/>
      <c r="B1992" s="481"/>
      <c r="C1992" s="485"/>
    </row>
    <row r="1993" spans="1:3">
      <c r="A1993" s="481"/>
      <c r="B1993" s="481"/>
      <c r="C1993" s="485"/>
    </row>
    <row r="1994" spans="1:3">
      <c r="A1994" s="481"/>
      <c r="B1994" s="481"/>
      <c r="C1994" s="485"/>
    </row>
    <row r="1995" spans="1:3">
      <c r="A1995" s="481"/>
      <c r="B1995" s="481"/>
      <c r="C1995" s="485"/>
    </row>
    <row r="1996" spans="1:3">
      <c r="A1996" s="481"/>
      <c r="B1996" s="481"/>
      <c r="C1996" s="485"/>
    </row>
    <row r="1997" spans="1:3">
      <c r="A1997" s="481"/>
      <c r="B1997" s="481"/>
      <c r="C1997" s="485"/>
    </row>
    <row r="1998" spans="1:3">
      <c r="A1998" s="481"/>
      <c r="B1998" s="481"/>
      <c r="C1998" s="485"/>
    </row>
    <row r="1999" spans="1:3">
      <c r="A1999" s="481"/>
      <c r="B1999" s="481"/>
      <c r="C1999" s="485"/>
    </row>
    <row r="2000" spans="1:3">
      <c r="A2000" s="481"/>
      <c r="B2000" s="481"/>
      <c r="C2000" s="485"/>
    </row>
    <row r="2001" spans="1:3">
      <c r="A2001" s="481"/>
      <c r="B2001" s="481"/>
      <c r="C2001" s="485"/>
    </row>
    <row r="2002" spans="1:3">
      <c r="A2002" s="481"/>
      <c r="B2002" s="481"/>
      <c r="C2002" s="485"/>
    </row>
    <row r="2003" spans="1:3">
      <c r="A2003" s="481"/>
      <c r="B2003" s="481"/>
      <c r="C2003" s="485"/>
    </row>
    <row r="2004" spans="1:3">
      <c r="A2004" s="481"/>
      <c r="B2004" s="481"/>
      <c r="C2004" s="485"/>
    </row>
    <row r="2005" spans="1:3">
      <c r="A2005" s="481"/>
      <c r="B2005" s="481"/>
      <c r="C2005" s="485"/>
    </row>
    <row r="2006" spans="1:3">
      <c r="A2006" s="481"/>
      <c r="B2006" s="481"/>
      <c r="C2006" s="485"/>
    </row>
    <row r="2007" spans="1:3">
      <c r="A2007" s="481"/>
      <c r="B2007" s="481"/>
      <c r="C2007" s="485"/>
    </row>
    <row r="2008" spans="1:3">
      <c r="A2008" s="481"/>
      <c r="B2008" s="481"/>
      <c r="C2008" s="485"/>
    </row>
    <row r="2009" spans="1:3">
      <c r="A2009" s="481"/>
      <c r="B2009" s="481"/>
      <c r="C2009" s="485"/>
    </row>
    <row r="2010" spans="1:3">
      <c r="A2010" s="481"/>
      <c r="B2010" s="481"/>
      <c r="C2010" s="485"/>
    </row>
    <row r="2011" spans="1:3">
      <c r="A2011" s="481"/>
      <c r="B2011" s="481"/>
      <c r="C2011" s="485"/>
    </row>
    <row r="2012" spans="1:3">
      <c r="A2012" s="481"/>
      <c r="B2012" s="481"/>
      <c r="C2012" s="485"/>
    </row>
    <row r="2013" spans="1:3">
      <c r="A2013" s="481"/>
      <c r="B2013" s="481"/>
      <c r="C2013" s="485"/>
    </row>
    <row r="2014" spans="1:3">
      <c r="A2014" s="481"/>
      <c r="B2014" s="481"/>
      <c r="C2014" s="485"/>
    </row>
    <row r="2015" spans="1:3">
      <c r="A2015" s="481"/>
      <c r="B2015" s="481"/>
      <c r="C2015" s="485"/>
    </row>
    <row r="2016" spans="1:3">
      <c r="A2016" s="481"/>
      <c r="B2016" s="481"/>
      <c r="C2016" s="485"/>
    </row>
    <row r="2017" spans="1:3">
      <c r="A2017" s="481"/>
      <c r="B2017" s="481"/>
      <c r="C2017" s="485"/>
    </row>
    <row r="2018" spans="1:3">
      <c r="A2018" s="481"/>
      <c r="B2018" s="481"/>
      <c r="C2018" s="485"/>
    </row>
    <row r="2019" spans="1:3">
      <c r="A2019" s="481"/>
      <c r="B2019" s="481"/>
      <c r="C2019" s="485"/>
    </row>
    <row r="2020" spans="1:3">
      <c r="A2020" s="481"/>
      <c r="B2020" s="481"/>
      <c r="C2020" s="485"/>
    </row>
    <row r="2021" spans="1:3">
      <c r="A2021" s="481"/>
      <c r="B2021" s="481"/>
      <c r="C2021" s="485"/>
    </row>
    <row r="2022" spans="1:3">
      <c r="A2022" s="481"/>
      <c r="B2022" s="481"/>
      <c r="C2022" s="485"/>
    </row>
    <row r="2023" spans="1:3">
      <c r="A2023" s="481"/>
      <c r="B2023" s="481"/>
      <c r="C2023" s="485"/>
    </row>
    <row r="2024" spans="1:3">
      <c r="A2024" s="481"/>
      <c r="B2024" s="481"/>
      <c r="C2024" s="485"/>
    </row>
    <row r="2025" spans="1:3">
      <c r="A2025" s="481"/>
      <c r="B2025" s="481"/>
      <c r="C2025" s="485"/>
    </row>
    <row r="2026" spans="1:3">
      <c r="A2026" s="481"/>
      <c r="B2026" s="481"/>
      <c r="C2026" s="485"/>
    </row>
    <row r="2027" spans="1:3">
      <c r="A2027" s="481"/>
      <c r="B2027" s="481"/>
      <c r="C2027" s="485"/>
    </row>
    <row r="2028" spans="1:3">
      <c r="A2028" s="481"/>
      <c r="B2028" s="481"/>
      <c r="C2028" s="485"/>
    </row>
    <row r="2029" spans="1:3">
      <c r="A2029" s="481"/>
      <c r="B2029" s="481"/>
      <c r="C2029" s="485"/>
    </row>
    <row r="2030" spans="1:3">
      <c r="A2030" s="481"/>
      <c r="B2030" s="481"/>
      <c r="C2030" s="485"/>
    </row>
    <row r="2031" spans="1:3">
      <c r="A2031" s="481"/>
      <c r="B2031" s="481"/>
      <c r="C2031" s="485"/>
    </row>
    <row r="2032" spans="1:3">
      <c r="A2032" s="481"/>
      <c r="B2032" s="481"/>
      <c r="C2032" s="485"/>
    </row>
    <row r="2033" spans="1:3">
      <c r="A2033" s="481"/>
      <c r="B2033" s="481"/>
      <c r="C2033" s="485"/>
    </row>
    <row r="2034" spans="1:3">
      <c r="A2034" s="481"/>
      <c r="B2034" s="481"/>
      <c r="C2034" s="485"/>
    </row>
    <row r="2035" spans="1:3">
      <c r="A2035" s="481"/>
      <c r="B2035" s="481"/>
      <c r="C2035" s="485"/>
    </row>
    <row r="2036" spans="1:3">
      <c r="A2036" s="481"/>
      <c r="B2036" s="481"/>
      <c r="C2036" s="485"/>
    </row>
    <row r="2037" spans="1:3">
      <c r="A2037" s="481"/>
      <c r="B2037" s="481"/>
      <c r="C2037" s="485"/>
    </row>
    <row r="2038" spans="1:3">
      <c r="A2038" s="481"/>
      <c r="B2038" s="481"/>
      <c r="C2038" s="485"/>
    </row>
    <row r="2039" spans="1:3">
      <c r="A2039" s="481"/>
      <c r="B2039" s="481"/>
      <c r="C2039" s="485"/>
    </row>
    <row r="2040" spans="1:3">
      <c r="A2040" s="481"/>
      <c r="B2040" s="481"/>
      <c r="C2040" s="485"/>
    </row>
    <row r="2041" spans="1:3">
      <c r="A2041" s="481"/>
      <c r="B2041" s="481"/>
      <c r="C2041" s="485"/>
    </row>
    <row r="2042" spans="1:3">
      <c r="A2042" s="481"/>
      <c r="B2042" s="481"/>
      <c r="C2042" s="485"/>
    </row>
    <row r="2043" spans="1:3">
      <c r="A2043" s="481"/>
      <c r="B2043" s="481"/>
      <c r="C2043" s="485"/>
    </row>
    <row r="2044" spans="1:3">
      <c r="A2044" s="481"/>
      <c r="B2044" s="481"/>
      <c r="C2044" s="485"/>
    </row>
    <row r="2045" spans="1:3">
      <c r="A2045" s="481"/>
      <c r="B2045" s="481"/>
      <c r="C2045" s="485"/>
    </row>
    <row r="2046" spans="1:3">
      <c r="A2046" s="481"/>
      <c r="B2046" s="481"/>
      <c r="C2046" s="485"/>
    </row>
    <row r="2047" spans="1:3">
      <c r="A2047" s="481"/>
      <c r="B2047" s="481"/>
      <c r="C2047" s="485"/>
    </row>
    <row r="2048" spans="1:3">
      <c r="A2048" s="481"/>
      <c r="B2048" s="481"/>
      <c r="C2048" s="485"/>
    </row>
    <row r="2049" spans="1:3">
      <c r="A2049" s="481"/>
      <c r="B2049" s="481"/>
      <c r="C2049" s="485"/>
    </row>
    <row r="2050" spans="1:3">
      <c r="A2050" s="481"/>
      <c r="B2050" s="481"/>
      <c r="C2050" s="485"/>
    </row>
    <row r="2051" spans="1:3">
      <c r="A2051" s="481"/>
      <c r="B2051" s="481"/>
      <c r="C2051" s="485"/>
    </row>
    <row r="2052" spans="1:3">
      <c r="A2052" s="481"/>
      <c r="B2052" s="481"/>
      <c r="C2052" s="485"/>
    </row>
    <row r="2053" spans="1:3">
      <c r="A2053" s="481"/>
      <c r="B2053" s="481"/>
      <c r="C2053" s="485"/>
    </row>
    <row r="2054" spans="1:3">
      <c r="A2054" s="481"/>
      <c r="B2054" s="481"/>
      <c r="C2054" s="485"/>
    </row>
    <row r="2055" spans="1:3">
      <c r="A2055" s="481"/>
      <c r="B2055" s="481"/>
      <c r="C2055" s="485"/>
    </row>
    <row r="2056" spans="1:3">
      <c r="A2056" s="481"/>
      <c r="B2056" s="481"/>
      <c r="C2056" s="485"/>
    </row>
    <row r="2057" spans="1:3">
      <c r="A2057" s="481"/>
      <c r="B2057" s="481"/>
      <c r="C2057" s="485"/>
    </row>
    <row r="2058" spans="1:3">
      <c r="A2058" s="481"/>
      <c r="B2058" s="481"/>
      <c r="C2058" s="485"/>
    </row>
    <row r="2059" spans="1:3">
      <c r="A2059" s="481"/>
      <c r="B2059" s="481"/>
      <c r="C2059" s="485"/>
    </row>
    <row r="2060" spans="1:3">
      <c r="A2060" s="481"/>
      <c r="B2060" s="481"/>
      <c r="C2060" s="485"/>
    </row>
    <row r="2061" spans="1:3">
      <c r="A2061" s="481"/>
      <c r="B2061" s="481"/>
      <c r="C2061" s="485"/>
    </row>
    <row r="2062" spans="1:3">
      <c r="A2062" s="481"/>
      <c r="B2062" s="481"/>
      <c r="C2062" s="485"/>
    </row>
    <row r="2063" spans="1:3">
      <c r="A2063" s="481"/>
      <c r="B2063" s="481"/>
      <c r="C2063" s="485"/>
    </row>
    <row r="2064" spans="1:3">
      <c r="A2064" s="481"/>
      <c r="B2064" s="481"/>
      <c r="C2064" s="485"/>
    </row>
    <row r="2065" spans="1:3">
      <c r="A2065" s="481"/>
      <c r="B2065" s="481"/>
      <c r="C2065" s="485"/>
    </row>
    <row r="2066" spans="1:3">
      <c r="A2066" s="481"/>
      <c r="B2066" s="481"/>
      <c r="C2066" s="485"/>
    </row>
    <row r="2067" spans="1:3">
      <c r="A2067" s="481"/>
      <c r="B2067" s="481"/>
      <c r="C2067" s="485"/>
    </row>
    <row r="2068" spans="1:3">
      <c r="A2068" s="481"/>
      <c r="B2068" s="481"/>
      <c r="C2068" s="485"/>
    </row>
    <row r="2069" spans="1:3">
      <c r="A2069" s="481"/>
      <c r="B2069" s="481"/>
      <c r="C2069" s="485"/>
    </row>
    <row r="2070" spans="1:3">
      <c r="A2070" s="481"/>
      <c r="B2070" s="481"/>
      <c r="C2070" s="485"/>
    </row>
    <row r="2071" spans="1:3">
      <c r="A2071" s="481"/>
      <c r="B2071" s="481"/>
      <c r="C2071" s="485"/>
    </row>
    <row r="2072" spans="1:3">
      <c r="A2072" s="481"/>
      <c r="B2072" s="481"/>
      <c r="C2072" s="485"/>
    </row>
    <row r="2073" spans="1:3">
      <c r="A2073" s="481"/>
      <c r="B2073" s="481"/>
      <c r="C2073" s="485"/>
    </row>
    <row r="2074" spans="1:3">
      <c r="A2074" s="481"/>
      <c r="B2074" s="481"/>
      <c r="C2074" s="485"/>
    </row>
    <row r="2075" spans="1:3">
      <c r="A2075" s="481"/>
      <c r="B2075" s="481"/>
      <c r="C2075" s="485"/>
    </row>
    <row r="2076" spans="1:3">
      <c r="A2076" s="481"/>
      <c r="B2076" s="481"/>
      <c r="C2076" s="485"/>
    </row>
    <row r="2077" spans="1:3">
      <c r="A2077" s="481"/>
      <c r="B2077" s="481"/>
      <c r="C2077" s="485"/>
    </row>
    <row r="2078" spans="1:3">
      <c r="A2078" s="481"/>
      <c r="B2078" s="481"/>
      <c r="C2078" s="485"/>
    </row>
    <row r="2079" spans="1:3">
      <c r="A2079" s="481"/>
      <c r="B2079" s="481"/>
      <c r="C2079" s="485"/>
    </row>
    <row r="2080" spans="1:3">
      <c r="A2080" s="481"/>
      <c r="B2080" s="481"/>
      <c r="C2080" s="485"/>
    </row>
    <row r="2081" spans="1:3">
      <c r="A2081" s="481"/>
      <c r="B2081" s="481"/>
      <c r="C2081" s="485"/>
    </row>
    <row r="2082" spans="1:3">
      <c r="A2082" s="481"/>
      <c r="B2082" s="481"/>
      <c r="C2082" s="485"/>
    </row>
    <row r="2083" spans="1:3">
      <c r="A2083" s="481"/>
      <c r="B2083" s="481"/>
      <c r="C2083" s="485"/>
    </row>
    <row r="2084" spans="1:3">
      <c r="A2084" s="481"/>
      <c r="B2084" s="481"/>
      <c r="C2084" s="485"/>
    </row>
    <row r="2085" spans="1:3">
      <c r="A2085" s="481"/>
      <c r="B2085" s="481"/>
      <c r="C2085" s="485"/>
    </row>
    <row r="2086" spans="1:3">
      <c r="A2086" s="481"/>
      <c r="B2086" s="481"/>
      <c r="C2086" s="485"/>
    </row>
    <row r="2087" spans="1:3">
      <c r="A2087" s="481"/>
      <c r="B2087" s="481"/>
      <c r="C2087" s="485"/>
    </row>
    <row r="2088" spans="1:3">
      <c r="A2088" s="481"/>
      <c r="B2088" s="481"/>
      <c r="C2088" s="485"/>
    </row>
    <row r="2089" spans="1:3">
      <c r="A2089" s="481"/>
      <c r="B2089" s="481"/>
      <c r="C2089" s="485"/>
    </row>
    <row r="2090" spans="1:3">
      <c r="A2090" s="481"/>
      <c r="B2090" s="481"/>
      <c r="C2090" s="485"/>
    </row>
    <row r="2091" spans="1:3">
      <c r="A2091" s="481"/>
      <c r="B2091" s="481"/>
      <c r="C2091" s="485"/>
    </row>
    <row r="2092" spans="1:3">
      <c r="A2092" s="481"/>
      <c r="B2092" s="481"/>
      <c r="C2092" s="485"/>
    </row>
    <row r="2093" spans="1:3">
      <c r="A2093" s="481"/>
      <c r="B2093" s="481"/>
      <c r="C2093" s="485"/>
    </row>
    <row r="2094" spans="1:3">
      <c r="A2094" s="481"/>
      <c r="B2094" s="481"/>
      <c r="C2094" s="485"/>
    </row>
    <row r="2095" spans="1:3">
      <c r="A2095" s="481"/>
      <c r="B2095" s="481"/>
      <c r="C2095" s="485"/>
    </row>
    <row r="2096" spans="1:3">
      <c r="A2096" s="481"/>
      <c r="B2096" s="481"/>
      <c r="C2096" s="485"/>
    </row>
    <row r="2097" spans="1:3">
      <c r="A2097" s="481"/>
      <c r="B2097" s="481"/>
      <c r="C2097" s="485"/>
    </row>
    <row r="2098" spans="1:3">
      <c r="A2098" s="481"/>
      <c r="B2098" s="481"/>
      <c r="C2098" s="485"/>
    </row>
    <row r="2099" spans="1:3">
      <c r="A2099" s="481"/>
      <c r="B2099" s="481"/>
      <c r="C2099" s="485"/>
    </row>
    <row r="2100" spans="1:3">
      <c r="A2100" s="481"/>
      <c r="B2100" s="481"/>
      <c r="C2100" s="485"/>
    </row>
    <row r="2101" spans="1:3">
      <c r="A2101" s="481"/>
      <c r="B2101" s="481"/>
      <c r="C2101" s="485"/>
    </row>
    <row r="2102" spans="1:3">
      <c r="A2102" s="481"/>
      <c r="B2102" s="481"/>
      <c r="C2102" s="485"/>
    </row>
    <row r="2103" spans="1:3">
      <c r="A2103" s="481"/>
      <c r="B2103" s="481"/>
      <c r="C2103" s="485"/>
    </row>
    <row r="2104" spans="1:3">
      <c r="A2104" s="481"/>
      <c r="B2104" s="481"/>
      <c r="C2104" s="485"/>
    </row>
    <row r="2105" spans="1:3">
      <c r="A2105" s="481"/>
      <c r="B2105" s="481"/>
      <c r="C2105" s="485"/>
    </row>
    <row r="2106" spans="1:3">
      <c r="A2106" s="481"/>
      <c r="B2106" s="481"/>
      <c r="C2106" s="485"/>
    </row>
    <row r="2107" spans="1:3">
      <c r="A2107" s="481"/>
      <c r="B2107" s="481"/>
      <c r="C2107" s="485"/>
    </row>
    <row r="2108" spans="1:3">
      <c r="A2108" s="481"/>
      <c r="B2108" s="481"/>
      <c r="C2108" s="485"/>
    </row>
    <row r="2109" spans="1:3">
      <c r="A2109" s="481"/>
      <c r="B2109" s="481"/>
      <c r="C2109" s="485"/>
    </row>
    <row r="2110" spans="1:3">
      <c r="A2110" s="481"/>
      <c r="B2110" s="481"/>
      <c r="C2110" s="485"/>
    </row>
    <row r="2111" spans="1:3">
      <c r="A2111" s="481"/>
      <c r="B2111" s="481"/>
      <c r="C2111" s="485"/>
    </row>
    <row r="2112" spans="1:3">
      <c r="A2112" s="481"/>
      <c r="B2112" s="481"/>
      <c r="C2112" s="485"/>
    </row>
    <row r="2113" spans="1:3">
      <c r="A2113" s="481"/>
      <c r="B2113" s="481"/>
      <c r="C2113" s="485"/>
    </row>
    <row r="2114" spans="1:3">
      <c r="A2114" s="481"/>
      <c r="B2114" s="481"/>
      <c r="C2114" s="485"/>
    </row>
    <row r="2115" spans="1:3">
      <c r="A2115" s="481"/>
      <c r="B2115" s="481"/>
      <c r="C2115" s="485"/>
    </row>
    <row r="2116" spans="1:3">
      <c r="A2116" s="481"/>
      <c r="B2116" s="481"/>
      <c r="C2116" s="485"/>
    </row>
    <row r="2117" spans="1:3">
      <c r="A2117" s="481"/>
      <c r="B2117" s="481"/>
      <c r="C2117" s="485"/>
    </row>
    <row r="2118" spans="1:3">
      <c r="A2118" s="481"/>
      <c r="B2118" s="481"/>
      <c r="C2118" s="485"/>
    </row>
    <row r="2119" spans="1:3">
      <c r="A2119" s="481"/>
      <c r="B2119" s="481"/>
      <c r="C2119" s="485"/>
    </row>
    <row r="2120" spans="1:3">
      <c r="A2120" s="481"/>
      <c r="B2120" s="481"/>
      <c r="C2120" s="485"/>
    </row>
    <row r="2121" spans="1:3">
      <c r="A2121" s="481"/>
      <c r="B2121" s="481"/>
      <c r="C2121" s="485"/>
    </row>
    <row r="2122" spans="1:3">
      <c r="A2122" s="481"/>
      <c r="B2122" s="481"/>
      <c r="C2122" s="485"/>
    </row>
    <row r="2123" spans="1:3">
      <c r="A2123" s="481"/>
      <c r="B2123" s="481"/>
      <c r="C2123" s="485"/>
    </row>
    <row r="2124" spans="1:3">
      <c r="A2124" s="481"/>
      <c r="B2124" s="481"/>
      <c r="C2124" s="485"/>
    </row>
    <row r="2125" spans="1:3">
      <c r="A2125" s="481"/>
      <c r="B2125" s="481"/>
      <c r="C2125" s="485"/>
    </row>
    <row r="2126" spans="1:3">
      <c r="A2126" s="481"/>
      <c r="B2126" s="481"/>
      <c r="C2126" s="485"/>
    </row>
    <row r="2127" spans="1:3">
      <c r="A2127" s="481"/>
      <c r="B2127" s="481"/>
      <c r="C2127" s="485"/>
    </row>
    <row r="2128" spans="1:3">
      <c r="A2128" s="481"/>
      <c r="B2128" s="481"/>
      <c r="C2128" s="485"/>
    </row>
    <row r="2129" spans="1:3">
      <c r="A2129" s="481"/>
      <c r="B2129" s="481"/>
      <c r="C2129" s="485"/>
    </row>
    <row r="2130" spans="1:3">
      <c r="A2130" s="481"/>
      <c r="B2130" s="481"/>
      <c r="C2130" s="485"/>
    </row>
    <row r="2131" spans="1:3">
      <c r="A2131" s="481"/>
      <c r="B2131" s="481"/>
      <c r="C2131" s="485"/>
    </row>
    <row r="2132" spans="1:3">
      <c r="A2132" s="481"/>
      <c r="B2132" s="481"/>
      <c r="C2132" s="485"/>
    </row>
    <row r="2133" spans="1:3">
      <c r="A2133" s="481"/>
      <c r="B2133" s="481"/>
      <c r="C2133" s="485"/>
    </row>
    <row r="2134" spans="1:3">
      <c r="A2134" s="481"/>
      <c r="B2134" s="481"/>
      <c r="C2134" s="485"/>
    </row>
    <row r="2135" spans="1:3">
      <c r="A2135" s="481"/>
      <c r="B2135" s="481"/>
      <c r="C2135" s="485"/>
    </row>
    <row r="2136" spans="1:3">
      <c r="A2136" s="481"/>
      <c r="B2136" s="481"/>
      <c r="C2136" s="485"/>
    </row>
    <row r="2137" spans="1:3">
      <c r="A2137" s="481"/>
      <c r="B2137" s="481"/>
      <c r="C2137" s="485"/>
    </row>
    <row r="2138" spans="1:3">
      <c r="A2138" s="481"/>
      <c r="B2138" s="481"/>
      <c r="C2138" s="485"/>
    </row>
    <row r="2139" spans="1:3">
      <c r="A2139" s="481"/>
      <c r="B2139" s="481"/>
      <c r="C2139" s="485"/>
    </row>
    <row r="2140" spans="1:3">
      <c r="A2140" s="481"/>
      <c r="B2140" s="481"/>
      <c r="C2140" s="485"/>
    </row>
    <row r="2141" spans="1:3">
      <c r="A2141" s="481"/>
      <c r="B2141" s="481"/>
      <c r="C2141" s="485"/>
    </row>
    <row r="2142" spans="1:3">
      <c r="A2142" s="481"/>
      <c r="B2142" s="481"/>
      <c r="C2142" s="485"/>
    </row>
    <row r="2143" spans="1:3">
      <c r="A2143" s="481"/>
      <c r="B2143" s="481"/>
      <c r="C2143" s="485"/>
    </row>
    <row r="2144" spans="1:3">
      <c r="A2144" s="481"/>
      <c r="B2144" s="481"/>
      <c r="C2144" s="485"/>
    </row>
    <row r="2145" spans="1:3">
      <c r="A2145" s="481"/>
      <c r="B2145" s="481"/>
      <c r="C2145" s="485"/>
    </row>
    <row r="2146" spans="1:3">
      <c r="A2146" s="481"/>
      <c r="B2146" s="481"/>
      <c r="C2146" s="485"/>
    </row>
    <row r="2147" spans="1:3">
      <c r="A2147" s="481"/>
      <c r="B2147" s="481"/>
      <c r="C2147" s="485"/>
    </row>
    <row r="2148" spans="1:3">
      <c r="A2148" s="481"/>
      <c r="B2148" s="481"/>
      <c r="C2148" s="485"/>
    </row>
    <row r="2149" spans="1:3">
      <c r="A2149" s="481"/>
      <c r="B2149" s="481"/>
      <c r="C2149" s="485"/>
    </row>
    <row r="2150" spans="1:3">
      <c r="A2150" s="481"/>
      <c r="B2150" s="481"/>
      <c r="C2150" s="485"/>
    </row>
    <row r="2151" spans="1:3">
      <c r="A2151" s="481"/>
      <c r="B2151" s="481"/>
      <c r="C2151" s="485"/>
    </row>
    <row r="2152" spans="1:3">
      <c r="A2152" s="481"/>
      <c r="B2152" s="481"/>
      <c r="C2152" s="485"/>
    </row>
    <row r="2153" spans="1:3">
      <c r="A2153" s="481"/>
      <c r="B2153" s="481"/>
      <c r="C2153" s="485"/>
    </row>
    <row r="2154" spans="1:3">
      <c r="A2154" s="481"/>
      <c r="B2154" s="481"/>
      <c r="C2154" s="485"/>
    </row>
    <row r="2155" spans="1:3">
      <c r="A2155" s="481"/>
      <c r="B2155" s="481"/>
      <c r="C2155" s="485"/>
    </row>
    <row r="2156" spans="1:3">
      <c r="A2156" s="481"/>
      <c r="B2156" s="481"/>
      <c r="C2156" s="485"/>
    </row>
    <row r="2157" spans="1:3">
      <c r="A2157" s="481"/>
      <c r="B2157" s="481"/>
      <c r="C2157" s="485"/>
    </row>
    <row r="2158" spans="1:3">
      <c r="A2158" s="481"/>
      <c r="B2158" s="481"/>
      <c r="C2158" s="485"/>
    </row>
    <row r="2159" spans="1:3">
      <c r="A2159" s="481"/>
      <c r="B2159" s="481"/>
      <c r="C2159" s="485"/>
    </row>
    <row r="2160" spans="1:3">
      <c r="A2160" s="481"/>
      <c r="B2160" s="481"/>
      <c r="C2160" s="485"/>
    </row>
    <row r="2161" spans="1:3">
      <c r="A2161" s="481"/>
      <c r="B2161" s="481"/>
      <c r="C2161" s="485"/>
    </row>
    <row r="2162" spans="1:3">
      <c r="A2162" s="481"/>
      <c r="B2162" s="481"/>
      <c r="C2162" s="485"/>
    </row>
    <row r="2163" spans="1:3">
      <c r="A2163" s="481"/>
      <c r="B2163" s="481"/>
      <c r="C2163" s="485"/>
    </row>
    <row r="2164" spans="1:3">
      <c r="A2164" s="481"/>
      <c r="B2164" s="481"/>
      <c r="C2164" s="485"/>
    </row>
    <row r="2165" spans="1:3">
      <c r="A2165" s="481"/>
      <c r="B2165" s="481"/>
      <c r="C2165" s="485"/>
    </row>
    <row r="2166" spans="1:3">
      <c r="A2166" s="481"/>
      <c r="B2166" s="481"/>
      <c r="C2166" s="485"/>
    </row>
    <row r="2167" spans="1:3">
      <c r="A2167" s="481"/>
      <c r="B2167" s="481"/>
      <c r="C2167" s="485"/>
    </row>
    <row r="2168" spans="1:3">
      <c r="A2168" s="481"/>
      <c r="B2168" s="481"/>
      <c r="C2168" s="485"/>
    </row>
    <row r="2169" spans="1:3">
      <c r="A2169" s="481"/>
      <c r="B2169" s="481"/>
      <c r="C2169" s="485"/>
    </row>
    <row r="2170" spans="1:3">
      <c r="A2170" s="481"/>
      <c r="B2170" s="481"/>
      <c r="C2170" s="485"/>
    </row>
    <row r="2171" spans="1:3">
      <c r="A2171" s="481"/>
      <c r="B2171" s="481"/>
      <c r="C2171" s="485"/>
    </row>
    <row r="2172" spans="1:3">
      <c r="A2172" s="481"/>
      <c r="B2172" s="481"/>
      <c r="C2172" s="485"/>
    </row>
    <row r="2173" spans="1:3">
      <c r="A2173" s="481"/>
      <c r="B2173" s="481"/>
      <c r="C2173" s="485"/>
    </row>
    <row r="2174" spans="1:3">
      <c r="A2174" s="481"/>
      <c r="B2174" s="481"/>
      <c r="C2174" s="485"/>
    </row>
    <row r="2175" spans="1:3">
      <c r="A2175" s="481"/>
      <c r="B2175" s="481"/>
      <c r="C2175" s="485"/>
    </row>
    <row r="2176" spans="1:3">
      <c r="A2176" s="481"/>
      <c r="B2176" s="481"/>
      <c r="C2176" s="485"/>
    </row>
    <row r="2177" spans="1:3">
      <c r="A2177" s="481"/>
      <c r="B2177" s="481"/>
      <c r="C2177" s="485"/>
    </row>
    <row r="2178" spans="1:3">
      <c r="A2178" s="481"/>
      <c r="B2178" s="481"/>
      <c r="C2178" s="485"/>
    </row>
    <row r="2179" spans="1:3">
      <c r="A2179" s="481"/>
      <c r="B2179" s="481"/>
      <c r="C2179" s="485"/>
    </row>
    <row r="2180" spans="1:3">
      <c r="A2180" s="481"/>
      <c r="B2180" s="481"/>
      <c r="C2180" s="485"/>
    </row>
    <row r="2181" spans="1:3">
      <c r="A2181" s="481"/>
      <c r="B2181" s="481"/>
      <c r="C2181" s="485"/>
    </row>
    <row r="2182" spans="1:3">
      <c r="A2182" s="481"/>
      <c r="B2182" s="481"/>
      <c r="C2182" s="485"/>
    </row>
    <row r="2183" spans="1:3">
      <c r="A2183" s="481"/>
      <c r="B2183" s="481"/>
      <c r="C2183" s="485"/>
    </row>
    <row r="2184" spans="1:3">
      <c r="A2184" s="481"/>
      <c r="B2184" s="481"/>
      <c r="C2184" s="485"/>
    </row>
    <row r="2185" spans="1:3">
      <c r="A2185" s="481"/>
      <c r="B2185" s="481"/>
      <c r="C2185" s="485"/>
    </row>
    <row r="2186" spans="1:3">
      <c r="A2186" s="481"/>
      <c r="B2186" s="481"/>
      <c r="C2186" s="485"/>
    </row>
    <row r="2187" spans="1:3">
      <c r="A2187" s="481"/>
      <c r="B2187" s="481"/>
      <c r="C2187" s="485"/>
    </row>
    <row r="2188" spans="1:3">
      <c r="A2188" s="481"/>
      <c r="B2188" s="481"/>
      <c r="C2188" s="485"/>
    </row>
    <row r="2189" spans="1:3">
      <c r="A2189" s="481"/>
      <c r="B2189" s="481"/>
      <c r="C2189" s="485"/>
    </row>
    <row r="2190" spans="1:3">
      <c r="A2190" s="481"/>
      <c r="B2190" s="481"/>
      <c r="C2190" s="485"/>
    </row>
    <row r="2191" spans="1:3">
      <c r="A2191" s="481"/>
      <c r="B2191" s="481"/>
      <c r="C2191" s="485"/>
    </row>
    <row r="2192" spans="1:3">
      <c r="A2192" s="481"/>
      <c r="B2192" s="481"/>
      <c r="C2192" s="485"/>
    </row>
    <row r="2193" spans="1:3">
      <c r="A2193" s="481"/>
      <c r="B2193" s="481"/>
      <c r="C2193" s="485"/>
    </row>
    <row r="2194" spans="1:3">
      <c r="A2194" s="481"/>
      <c r="B2194" s="481"/>
      <c r="C2194" s="485"/>
    </row>
    <row r="2195" spans="1:3">
      <c r="A2195" s="481"/>
      <c r="B2195" s="481"/>
      <c r="C2195" s="485"/>
    </row>
    <row r="2196" spans="1:3">
      <c r="A2196" s="481"/>
      <c r="B2196" s="481"/>
      <c r="C2196" s="485"/>
    </row>
    <row r="2197" spans="1:3">
      <c r="A2197" s="481"/>
      <c r="B2197" s="481"/>
      <c r="C2197" s="485"/>
    </row>
    <row r="2198" spans="1:3">
      <c r="A2198" s="481"/>
      <c r="B2198" s="481"/>
      <c r="C2198" s="485"/>
    </row>
    <row r="2199" spans="1:3">
      <c r="A2199" s="481"/>
      <c r="B2199" s="481"/>
      <c r="C2199" s="485"/>
    </row>
    <row r="2200" spans="1:3">
      <c r="A2200" s="481"/>
      <c r="B2200" s="481"/>
      <c r="C2200" s="485"/>
    </row>
    <row r="2201" spans="1:3">
      <c r="A2201" s="481"/>
      <c r="B2201" s="481"/>
      <c r="C2201" s="485"/>
    </row>
    <row r="2202" spans="1:3">
      <c r="A2202" s="481"/>
      <c r="B2202" s="481"/>
      <c r="C2202" s="485"/>
    </row>
    <row r="2203" spans="1:3">
      <c r="A2203" s="481"/>
      <c r="B2203" s="481"/>
      <c r="C2203" s="485"/>
    </row>
    <row r="2204" spans="1:3">
      <c r="A2204" s="481"/>
      <c r="B2204" s="481"/>
      <c r="C2204" s="485"/>
    </row>
    <row r="2205" spans="1:3">
      <c r="A2205" s="481"/>
      <c r="B2205" s="481"/>
      <c r="C2205" s="485"/>
    </row>
    <row r="2206" spans="1:3">
      <c r="A2206" s="481"/>
      <c r="B2206" s="481"/>
      <c r="C2206" s="485"/>
    </row>
    <row r="2207" spans="1:3">
      <c r="A2207" s="481"/>
      <c r="B2207" s="481"/>
      <c r="C2207" s="485"/>
    </row>
    <row r="2208" spans="1:3">
      <c r="A2208" s="481"/>
      <c r="B2208" s="481"/>
      <c r="C2208" s="485"/>
    </row>
    <row r="2209" spans="1:3">
      <c r="A2209" s="481"/>
      <c r="B2209" s="481"/>
      <c r="C2209" s="485"/>
    </row>
    <row r="2210" spans="1:3">
      <c r="A2210" s="481"/>
      <c r="B2210" s="481"/>
      <c r="C2210" s="485"/>
    </row>
    <row r="2211" spans="1:3">
      <c r="A2211" s="481"/>
      <c r="B2211" s="481"/>
      <c r="C2211" s="485"/>
    </row>
    <row r="2212" spans="1:3">
      <c r="A2212" s="481"/>
      <c r="B2212" s="481"/>
      <c r="C2212" s="485"/>
    </row>
    <row r="2213" spans="1:3">
      <c r="A2213" s="481"/>
      <c r="B2213" s="481"/>
      <c r="C2213" s="485"/>
    </row>
    <row r="2214" spans="1:3">
      <c r="A2214" s="481"/>
      <c r="B2214" s="481"/>
      <c r="C2214" s="485"/>
    </row>
    <row r="2215" spans="1:3">
      <c r="A2215" s="481"/>
      <c r="B2215" s="481"/>
      <c r="C2215" s="485"/>
    </row>
    <row r="2216" spans="1:3">
      <c r="A2216" s="481"/>
      <c r="B2216" s="481"/>
      <c r="C2216" s="485"/>
    </row>
    <row r="2217" spans="1:3">
      <c r="A2217" s="481"/>
      <c r="B2217" s="481"/>
      <c r="C2217" s="485"/>
    </row>
    <row r="2218" spans="1:3">
      <c r="A2218" s="481"/>
      <c r="B2218" s="481"/>
      <c r="C2218" s="485"/>
    </row>
    <row r="2219" spans="1:3">
      <c r="A2219" s="481"/>
      <c r="B2219" s="481"/>
      <c r="C2219" s="485"/>
    </row>
    <row r="2220" spans="1:3">
      <c r="A2220" s="481"/>
      <c r="B2220" s="481"/>
      <c r="C2220" s="485"/>
    </row>
    <row r="2221" spans="1:3">
      <c r="A2221" s="481"/>
      <c r="B2221" s="481"/>
      <c r="C2221" s="485"/>
    </row>
    <row r="2222" spans="1:3">
      <c r="A2222" s="481"/>
      <c r="B2222" s="481"/>
      <c r="C2222" s="485"/>
    </row>
    <row r="2223" spans="1:3">
      <c r="A2223" s="481"/>
      <c r="B2223" s="481"/>
      <c r="C2223" s="485"/>
    </row>
    <row r="2224" spans="1:3">
      <c r="A2224" s="481"/>
      <c r="B2224" s="481"/>
      <c r="C2224" s="485"/>
    </row>
    <row r="2225" spans="1:3">
      <c r="A2225" s="481"/>
      <c r="B2225" s="481"/>
      <c r="C2225" s="485"/>
    </row>
    <row r="2226" spans="1:3">
      <c r="A2226" s="481"/>
      <c r="B2226" s="481"/>
      <c r="C2226" s="485"/>
    </row>
    <row r="2227" spans="1:3">
      <c r="A2227" s="481"/>
      <c r="B2227" s="481"/>
      <c r="C2227" s="485"/>
    </row>
    <row r="2228" spans="1:3">
      <c r="A2228" s="481"/>
      <c r="B2228" s="481"/>
      <c r="C2228" s="485"/>
    </row>
    <row r="2229" spans="1:3">
      <c r="A2229" s="481"/>
      <c r="B2229" s="481"/>
      <c r="C2229" s="485"/>
    </row>
    <row r="2230" spans="1:3">
      <c r="A2230" s="481"/>
      <c r="B2230" s="481"/>
      <c r="C2230" s="485"/>
    </row>
    <row r="2231" spans="1:3">
      <c r="A2231" s="481"/>
      <c r="B2231" s="481"/>
      <c r="C2231" s="485"/>
    </row>
    <row r="2232" spans="1:3">
      <c r="A2232" s="481"/>
      <c r="B2232" s="481"/>
      <c r="C2232" s="485"/>
    </row>
    <row r="2233" spans="1:3">
      <c r="A2233" s="481"/>
      <c r="B2233" s="481"/>
      <c r="C2233" s="485"/>
    </row>
    <row r="2234" spans="1:3">
      <c r="A2234" s="481"/>
      <c r="B2234" s="481"/>
      <c r="C2234" s="485"/>
    </row>
    <row r="2235" spans="1:3">
      <c r="A2235" s="481"/>
      <c r="B2235" s="481"/>
      <c r="C2235" s="485"/>
    </row>
    <row r="2236" spans="1:3">
      <c r="A2236" s="481"/>
      <c r="B2236" s="481"/>
      <c r="C2236" s="485"/>
    </row>
    <row r="2237" spans="1:3">
      <c r="A2237" s="481"/>
      <c r="B2237" s="481"/>
      <c r="C2237" s="485"/>
    </row>
    <row r="2238" spans="1:3">
      <c r="A2238" s="481"/>
      <c r="B2238" s="481"/>
      <c r="C2238" s="485"/>
    </row>
    <row r="2239" spans="1:3">
      <c r="A2239" s="481"/>
      <c r="B2239" s="481"/>
      <c r="C2239" s="485"/>
    </row>
    <row r="2240" spans="1:3">
      <c r="A2240" s="481"/>
      <c r="B2240" s="481"/>
      <c r="C2240" s="485"/>
    </row>
    <row r="2241" spans="1:3">
      <c r="A2241" s="481"/>
      <c r="B2241" s="481"/>
      <c r="C2241" s="485"/>
    </row>
    <row r="2242" spans="1:3">
      <c r="A2242" s="481"/>
      <c r="B2242" s="481"/>
      <c r="C2242" s="485"/>
    </row>
    <row r="2243" spans="1:3">
      <c r="A2243" s="481"/>
      <c r="B2243" s="481"/>
      <c r="C2243" s="485"/>
    </row>
    <row r="2244" spans="1:3">
      <c r="A2244" s="481"/>
      <c r="B2244" s="481"/>
      <c r="C2244" s="485"/>
    </row>
    <row r="2245" spans="1:3">
      <c r="A2245" s="481"/>
      <c r="B2245" s="481"/>
      <c r="C2245" s="485"/>
    </row>
    <row r="2246" spans="1:3">
      <c r="A2246" s="481"/>
      <c r="B2246" s="481"/>
      <c r="C2246" s="485"/>
    </row>
    <row r="2247" spans="1:3">
      <c r="A2247" s="481"/>
      <c r="B2247" s="481"/>
      <c r="C2247" s="485"/>
    </row>
    <row r="2248" spans="1:3">
      <c r="A2248" s="481"/>
      <c r="B2248" s="481"/>
      <c r="C2248" s="485"/>
    </row>
    <row r="2249" spans="1:3">
      <c r="A2249" s="481"/>
      <c r="B2249" s="481"/>
      <c r="C2249" s="485"/>
    </row>
    <row r="2250" spans="1:3">
      <c r="A2250" s="481"/>
      <c r="B2250" s="481"/>
      <c r="C2250" s="485"/>
    </row>
    <row r="2251" spans="1:3">
      <c r="A2251" s="481"/>
      <c r="B2251" s="481"/>
      <c r="C2251" s="485"/>
    </row>
    <row r="2252" spans="1:3">
      <c r="A2252" s="481"/>
      <c r="B2252" s="481"/>
      <c r="C2252" s="485"/>
    </row>
    <row r="2253" spans="1:3">
      <c r="A2253" s="481"/>
      <c r="B2253" s="481"/>
      <c r="C2253" s="485"/>
    </row>
    <row r="2254" spans="1:3">
      <c r="A2254" s="481"/>
      <c r="B2254" s="481"/>
      <c r="C2254" s="485"/>
    </row>
    <row r="2255" spans="1:3">
      <c r="A2255" s="481"/>
      <c r="B2255" s="481"/>
      <c r="C2255" s="485"/>
    </row>
    <row r="2256" spans="1:3">
      <c r="A2256" s="481"/>
      <c r="B2256" s="481"/>
      <c r="C2256" s="485"/>
    </row>
    <row r="2257" spans="1:3">
      <c r="A2257" s="481"/>
      <c r="B2257" s="481"/>
      <c r="C2257" s="485"/>
    </row>
    <row r="2258" spans="1:3">
      <c r="A2258" s="481"/>
      <c r="B2258" s="481"/>
      <c r="C2258" s="485"/>
    </row>
    <row r="2259" spans="1:3">
      <c r="A2259" s="481"/>
      <c r="B2259" s="481"/>
      <c r="C2259" s="485"/>
    </row>
    <row r="2260" spans="1:3">
      <c r="A2260" s="481"/>
      <c r="B2260" s="481"/>
      <c r="C2260" s="485"/>
    </row>
    <row r="2261" spans="1:3">
      <c r="A2261" s="481"/>
      <c r="B2261" s="481"/>
      <c r="C2261" s="485"/>
    </row>
    <row r="2262" spans="1:3">
      <c r="A2262" s="481"/>
      <c r="B2262" s="481"/>
      <c r="C2262" s="485"/>
    </row>
    <row r="2263" spans="1:3">
      <c r="A2263" s="481"/>
      <c r="B2263" s="481"/>
      <c r="C2263" s="485"/>
    </row>
    <row r="2264" spans="1:3">
      <c r="A2264" s="481"/>
      <c r="B2264" s="481"/>
      <c r="C2264" s="485"/>
    </row>
    <row r="2265" spans="1:3">
      <c r="A2265" s="481"/>
      <c r="B2265" s="481"/>
      <c r="C2265" s="485"/>
    </row>
    <row r="2266" spans="1:3">
      <c r="A2266" s="481"/>
      <c r="B2266" s="481"/>
      <c r="C2266" s="485"/>
    </row>
    <row r="2267" spans="1:3">
      <c r="A2267" s="481"/>
      <c r="B2267" s="481"/>
      <c r="C2267" s="485"/>
    </row>
    <row r="2268" spans="1:3">
      <c r="A2268" s="481"/>
      <c r="B2268" s="481"/>
      <c r="C2268" s="485"/>
    </row>
    <row r="2269" spans="1:3">
      <c r="A2269" s="481"/>
      <c r="B2269" s="481"/>
      <c r="C2269" s="485"/>
    </row>
    <row r="2270" spans="1:3">
      <c r="A2270" s="481"/>
      <c r="B2270" s="481"/>
      <c r="C2270" s="485"/>
    </row>
    <row r="2271" spans="1:3">
      <c r="A2271" s="481"/>
      <c r="B2271" s="481"/>
      <c r="C2271" s="485"/>
    </row>
    <row r="2272" spans="1:3">
      <c r="A2272" s="481"/>
      <c r="B2272" s="481"/>
      <c r="C2272" s="485"/>
    </row>
    <row r="2273" spans="1:3">
      <c r="A2273" s="481"/>
      <c r="B2273" s="481"/>
      <c r="C2273" s="485"/>
    </row>
    <row r="2274" spans="1:3">
      <c r="A2274" s="481"/>
      <c r="B2274" s="481"/>
      <c r="C2274" s="485"/>
    </row>
    <row r="2275" spans="1:3">
      <c r="A2275" s="481"/>
      <c r="B2275" s="481"/>
      <c r="C2275" s="485"/>
    </row>
    <row r="2276" spans="1:3">
      <c r="A2276" s="481"/>
      <c r="B2276" s="481"/>
      <c r="C2276" s="485"/>
    </row>
    <row r="2277" spans="1:3">
      <c r="A2277" s="481"/>
      <c r="B2277" s="481"/>
      <c r="C2277" s="485"/>
    </row>
    <row r="2278" spans="1:3">
      <c r="A2278" s="481"/>
      <c r="B2278" s="481"/>
      <c r="C2278" s="485"/>
    </row>
    <row r="2279" spans="1:3">
      <c r="A2279" s="481"/>
      <c r="B2279" s="481"/>
      <c r="C2279" s="485"/>
    </row>
    <row r="2280" spans="1:3">
      <c r="A2280" s="481"/>
      <c r="B2280" s="481"/>
      <c r="C2280" s="485"/>
    </row>
    <row r="2281" spans="1:3">
      <c r="A2281" s="481"/>
      <c r="B2281" s="481"/>
      <c r="C2281" s="485"/>
    </row>
    <row r="2282" spans="1:3">
      <c r="A2282" s="481"/>
      <c r="B2282" s="481"/>
      <c r="C2282" s="485"/>
    </row>
    <row r="2283" spans="1:3">
      <c r="A2283" s="481"/>
      <c r="B2283" s="481"/>
      <c r="C2283" s="485"/>
    </row>
    <row r="2284" spans="1:3">
      <c r="A2284" s="481"/>
      <c r="B2284" s="481"/>
      <c r="C2284" s="485"/>
    </row>
    <row r="2285" spans="1:3">
      <c r="A2285" s="481"/>
      <c r="B2285" s="481"/>
      <c r="C2285" s="485"/>
    </row>
    <row r="2286" spans="1:3">
      <c r="A2286" s="481"/>
      <c r="B2286" s="481"/>
      <c r="C2286" s="485"/>
    </row>
    <row r="2287" spans="1:3">
      <c r="A2287" s="481"/>
      <c r="B2287" s="481"/>
      <c r="C2287" s="485"/>
    </row>
    <row r="2288" spans="1:3">
      <c r="A2288" s="481"/>
      <c r="B2288" s="481"/>
      <c r="C2288" s="485"/>
    </row>
    <row r="2289" spans="1:3">
      <c r="A2289" s="481"/>
      <c r="B2289" s="481"/>
      <c r="C2289" s="485"/>
    </row>
    <row r="2290" spans="1:3">
      <c r="A2290" s="481"/>
      <c r="B2290" s="481"/>
      <c r="C2290" s="485"/>
    </row>
    <row r="2291" spans="1:3">
      <c r="A2291" s="481"/>
      <c r="B2291" s="481"/>
      <c r="C2291" s="485"/>
    </row>
    <row r="2292" spans="1:3">
      <c r="A2292" s="481"/>
      <c r="B2292" s="481"/>
      <c r="C2292" s="485"/>
    </row>
    <row r="2293" spans="1:3">
      <c r="A2293" s="481"/>
      <c r="B2293" s="481"/>
      <c r="C2293" s="485"/>
    </row>
    <row r="2294" spans="1:3">
      <c r="A2294" s="481"/>
      <c r="B2294" s="481"/>
      <c r="C2294" s="485"/>
    </row>
    <row r="2295" spans="1:3">
      <c r="A2295" s="481"/>
      <c r="B2295" s="481"/>
      <c r="C2295" s="485"/>
    </row>
    <row r="2296" spans="1:3">
      <c r="A2296" s="481"/>
      <c r="B2296" s="481"/>
      <c r="C2296" s="485"/>
    </row>
    <row r="2297" spans="1:3">
      <c r="A2297" s="481"/>
      <c r="B2297" s="481"/>
      <c r="C2297" s="485"/>
    </row>
    <row r="2298" spans="1:3">
      <c r="A2298" s="481"/>
      <c r="B2298" s="481"/>
      <c r="C2298" s="485"/>
    </row>
    <row r="2299" spans="1:3">
      <c r="A2299" s="481"/>
      <c r="B2299" s="481"/>
      <c r="C2299" s="485"/>
    </row>
    <row r="2300" spans="1:3">
      <c r="A2300" s="481"/>
      <c r="B2300" s="481"/>
      <c r="C2300" s="485"/>
    </row>
    <row r="2301" spans="1:3">
      <c r="A2301" s="481"/>
      <c r="B2301" s="481"/>
      <c r="C2301" s="485"/>
    </row>
    <row r="2302" spans="1:3">
      <c r="A2302" s="481"/>
      <c r="B2302" s="481"/>
      <c r="C2302" s="485"/>
    </row>
    <row r="2303" spans="1:3">
      <c r="A2303" s="481"/>
      <c r="B2303" s="481"/>
      <c r="C2303" s="485"/>
    </row>
    <row r="2304" spans="1:3">
      <c r="A2304" s="481"/>
      <c r="B2304" s="481"/>
      <c r="C2304" s="485"/>
    </row>
    <row r="2305" spans="1:3">
      <c r="A2305" s="481"/>
      <c r="B2305" s="481"/>
      <c r="C2305" s="485"/>
    </row>
    <row r="2306" spans="1:3">
      <c r="A2306" s="481"/>
      <c r="B2306" s="481"/>
      <c r="C2306" s="485"/>
    </row>
    <row r="2307" spans="1:3">
      <c r="A2307" s="481"/>
      <c r="B2307" s="481"/>
      <c r="C2307" s="485"/>
    </row>
    <row r="2308" spans="1:3">
      <c r="A2308" s="481"/>
      <c r="B2308" s="481"/>
      <c r="C2308" s="485"/>
    </row>
    <row r="2309" spans="1:3">
      <c r="A2309" s="481"/>
      <c r="B2309" s="481"/>
      <c r="C2309" s="485"/>
    </row>
    <row r="2310" spans="1:3">
      <c r="A2310" s="481"/>
      <c r="B2310" s="481"/>
      <c r="C2310" s="485"/>
    </row>
    <row r="2311" spans="1:3">
      <c r="A2311" s="481"/>
      <c r="B2311" s="481"/>
      <c r="C2311" s="485"/>
    </row>
    <row r="2312" spans="1:3">
      <c r="A2312" s="481"/>
      <c r="B2312" s="481"/>
      <c r="C2312" s="485"/>
    </row>
    <row r="2313" spans="1:3">
      <c r="A2313" s="481"/>
      <c r="B2313" s="481"/>
      <c r="C2313" s="485"/>
    </row>
    <row r="2314" spans="1:3">
      <c r="A2314" s="481"/>
      <c r="B2314" s="481"/>
      <c r="C2314" s="485"/>
    </row>
    <row r="2315" spans="1:3">
      <c r="A2315" s="481"/>
      <c r="B2315" s="481"/>
      <c r="C2315" s="485"/>
    </row>
    <row r="2316" spans="1:3">
      <c r="A2316" s="481"/>
      <c r="B2316" s="481"/>
      <c r="C2316" s="485"/>
    </row>
    <row r="2317" spans="1:3">
      <c r="A2317" s="481"/>
      <c r="B2317" s="481"/>
      <c r="C2317" s="485"/>
    </row>
    <row r="2318" spans="1:3">
      <c r="A2318" s="481"/>
      <c r="B2318" s="481"/>
      <c r="C2318" s="485"/>
    </row>
    <row r="2319" spans="1:3">
      <c r="A2319" s="481"/>
      <c r="B2319" s="481"/>
      <c r="C2319" s="485"/>
    </row>
    <row r="2320" spans="1:3">
      <c r="A2320" s="481"/>
      <c r="B2320" s="481"/>
      <c r="C2320" s="485"/>
    </row>
    <row r="2321" spans="1:3">
      <c r="A2321" s="481"/>
      <c r="B2321" s="481"/>
      <c r="C2321" s="485"/>
    </row>
    <row r="2322" spans="1:3">
      <c r="A2322" s="481"/>
      <c r="B2322" s="481"/>
      <c r="C2322" s="485"/>
    </row>
    <row r="2323" spans="1:3">
      <c r="A2323" s="481"/>
      <c r="B2323" s="481"/>
      <c r="C2323" s="485"/>
    </row>
    <row r="2324" spans="1:3">
      <c r="A2324" s="481"/>
      <c r="B2324" s="481"/>
      <c r="C2324" s="485"/>
    </row>
    <row r="2325" spans="1:3">
      <c r="A2325" s="481"/>
      <c r="B2325" s="481"/>
      <c r="C2325" s="485"/>
    </row>
    <row r="2326" spans="1:3">
      <c r="A2326" s="481"/>
      <c r="B2326" s="481"/>
      <c r="C2326" s="485"/>
    </row>
    <row r="2327" spans="1:3">
      <c r="A2327" s="481"/>
      <c r="B2327" s="481"/>
      <c r="C2327" s="485"/>
    </row>
    <row r="2328" spans="1:3">
      <c r="A2328" s="481"/>
      <c r="B2328" s="481"/>
      <c r="C2328" s="485"/>
    </row>
    <row r="2329" spans="1:3">
      <c r="A2329" s="481"/>
      <c r="B2329" s="481"/>
      <c r="C2329" s="485"/>
    </row>
    <row r="2330" spans="1:3">
      <c r="A2330" s="481"/>
      <c r="B2330" s="481"/>
      <c r="C2330" s="485"/>
    </row>
    <row r="2331" spans="1:3">
      <c r="A2331" s="481"/>
      <c r="B2331" s="481"/>
      <c r="C2331" s="485"/>
    </row>
    <row r="2332" spans="1:3">
      <c r="A2332" s="481"/>
      <c r="B2332" s="481"/>
      <c r="C2332" s="485"/>
    </row>
    <row r="2333" spans="1:3">
      <c r="A2333" s="481"/>
      <c r="B2333" s="481"/>
      <c r="C2333" s="485"/>
    </row>
    <row r="2334" spans="1:3">
      <c r="A2334" s="481"/>
      <c r="B2334" s="481"/>
      <c r="C2334" s="485"/>
    </row>
    <row r="2335" spans="1:3">
      <c r="A2335" s="481"/>
      <c r="B2335" s="481"/>
      <c r="C2335" s="485"/>
    </row>
    <row r="2336" spans="1:3">
      <c r="A2336" s="481"/>
      <c r="B2336" s="481"/>
      <c r="C2336" s="485"/>
    </row>
    <row r="2337" spans="1:3">
      <c r="A2337" s="481"/>
      <c r="B2337" s="481"/>
      <c r="C2337" s="485"/>
    </row>
    <row r="2338" spans="1:3">
      <c r="A2338" s="481"/>
      <c r="B2338" s="481"/>
      <c r="C2338" s="485"/>
    </row>
    <row r="2339" spans="1:3">
      <c r="A2339" s="481"/>
      <c r="B2339" s="481"/>
      <c r="C2339" s="485"/>
    </row>
    <row r="2340" spans="1:3">
      <c r="A2340" s="481"/>
      <c r="B2340" s="481"/>
      <c r="C2340" s="485"/>
    </row>
    <row r="2341" spans="1:3">
      <c r="A2341" s="481"/>
      <c r="B2341" s="481"/>
      <c r="C2341" s="485"/>
    </row>
    <row r="2342" spans="1:3">
      <c r="A2342" s="481"/>
      <c r="B2342" s="481"/>
      <c r="C2342" s="485"/>
    </row>
    <row r="2343" spans="1:3">
      <c r="A2343" s="481"/>
      <c r="B2343" s="481"/>
      <c r="C2343" s="485"/>
    </row>
    <row r="2344" spans="1:3">
      <c r="A2344" s="481"/>
      <c r="B2344" s="481"/>
      <c r="C2344" s="485"/>
    </row>
    <row r="2345" spans="1:3">
      <c r="A2345" s="481"/>
      <c r="B2345" s="481"/>
      <c r="C2345" s="485"/>
    </row>
    <row r="2346" spans="1:3">
      <c r="A2346" s="481"/>
      <c r="B2346" s="481"/>
      <c r="C2346" s="485"/>
    </row>
    <row r="2347" spans="1:3">
      <c r="A2347" s="481"/>
      <c r="B2347" s="481"/>
      <c r="C2347" s="485"/>
    </row>
    <row r="2348" spans="1:3">
      <c r="A2348" s="481"/>
      <c r="B2348" s="481"/>
      <c r="C2348" s="485"/>
    </row>
    <row r="2349" spans="1:3">
      <c r="A2349" s="481"/>
      <c r="B2349" s="481"/>
      <c r="C2349" s="485"/>
    </row>
    <row r="2350" spans="1:3">
      <c r="A2350" s="481"/>
      <c r="B2350" s="481"/>
      <c r="C2350" s="485"/>
    </row>
    <row r="2351" spans="1:3">
      <c r="A2351" s="481"/>
      <c r="B2351" s="481"/>
      <c r="C2351" s="485"/>
    </row>
    <row r="2352" spans="1:3">
      <c r="A2352" s="481"/>
      <c r="B2352" s="481"/>
      <c r="C2352" s="485"/>
    </row>
    <row r="2353" spans="1:3">
      <c r="A2353" s="481"/>
      <c r="B2353" s="481"/>
      <c r="C2353" s="485"/>
    </row>
    <row r="2354" spans="1:3">
      <c r="A2354" s="481"/>
      <c r="B2354" s="481"/>
      <c r="C2354" s="485"/>
    </row>
    <row r="2355" spans="1:3">
      <c r="A2355" s="481"/>
      <c r="B2355" s="481"/>
      <c r="C2355" s="485"/>
    </row>
    <row r="2356" spans="1:3">
      <c r="A2356" s="481"/>
      <c r="B2356" s="481"/>
      <c r="C2356" s="485"/>
    </row>
    <row r="2357" spans="1:3">
      <c r="A2357" s="481"/>
      <c r="B2357" s="481"/>
      <c r="C2357" s="485"/>
    </row>
    <row r="2358" spans="1:3">
      <c r="A2358" s="481"/>
      <c r="B2358" s="481"/>
      <c r="C2358" s="485"/>
    </row>
    <row r="2359" spans="1:3">
      <c r="A2359" s="481"/>
      <c r="B2359" s="481"/>
      <c r="C2359" s="485"/>
    </row>
    <row r="2360" spans="1:3">
      <c r="A2360" s="481"/>
      <c r="B2360" s="481"/>
      <c r="C2360" s="485"/>
    </row>
    <row r="2361" spans="1:3">
      <c r="A2361" s="481"/>
      <c r="B2361" s="481"/>
      <c r="C2361" s="485"/>
    </row>
    <row r="2362" spans="1:3">
      <c r="A2362" s="481"/>
      <c r="B2362" s="481"/>
      <c r="C2362" s="485"/>
    </row>
    <row r="2363" spans="1:3">
      <c r="A2363" s="481"/>
      <c r="B2363" s="481"/>
      <c r="C2363" s="485"/>
    </row>
    <row r="2364" spans="1:3">
      <c r="A2364" s="481"/>
      <c r="B2364" s="481"/>
      <c r="C2364" s="485"/>
    </row>
    <row r="2365" spans="1:3">
      <c r="A2365" s="481"/>
      <c r="B2365" s="481"/>
      <c r="C2365" s="485"/>
    </row>
    <row r="2366" spans="1:3">
      <c r="A2366" s="481"/>
      <c r="B2366" s="481"/>
      <c r="C2366" s="485"/>
    </row>
    <row r="2367" spans="1:3">
      <c r="A2367" s="481"/>
      <c r="B2367" s="481"/>
      <c r="C2367" s="485"/>
    </row>
    <row r="2368" spans="1:3">
      <c r="A2368" s="481"/>
      <c r="B2368" s="481"/>
      <c r="C2368" s="485"/>
    </row>
    <row r="2369" spans="1:3">
      <c r="A2369" s="481"/>
      <c r="B2369" s="481"/>
      <c r="C2369" s="485"/>
    </row>
    <row r="2370" spans="1:3">
      <c r="A2370" s="481"/>
      <c r="B2370" s="481"/>
      <c r="C2370" s="485"/>
    </row>
    <row r="2371" spans="1:3">
      <c r="A2371" s="481"/>
      <c r="B2371" s="481"/>
      <c r="C2371" s="485"/>
    </row>
    <row r="2372" spans="1:3">
      <c r="A2372" s="481"/>
      <c r="B2372" s="481"/>
      <c r="C2372" s="485"/>
    </row>
    <row r="2373" spans="1:3">
      <c r="A2373" s="481"/>
      <c r="B2373" s="481"/>
      <c r="C2373" s="485"/>
    </row>
    <row r="2374" spans="1:3">
      <c r="A2374" s="481"/>
      <c r="B2374" s="481"/>
      <c r="C2374" s="485"/>
    </row>
    <row r="2375" spans="1:3">
      <c r="A2375" s="481"/>
      <c r="B2375" s="481"/>
      <c r="C2375" s="485"/>
    </row>
    <row r="2376" spans="1:3">
      <c r="A2376" s="481"/>
      <c r="B2376" s="481"/>
      <c r="C2376" s="485"/>
    </row>
    <row r="2377" spans="1:3">
      <c r="A2377" s="481"/>
      <c r="B2377" s="481"/>
      <c r="C2377" s="485"/>
    </row>
    <row r="2378" spans="1:3">
      <c r="A2378" s="481"/>
      <c r="B2378" s="481"/>
      <c r="C2378" s="485"/>
    </row>
    <row r="2379" spans="1:3">
      <c r="A2379" s="481"/>
      <c r="B2379" s="481"/>
      <c r="C2379" s="485"/>
    </row>
    <row r="2380" spans="1:3">
      <c r="A2380" s="481"/>
      <c r="B2380" s="481"/>
      <c r="C2380" s="485"/>
    </row>
    <row r="2381" spans="1:3">
      <c r="A2381" s="481"/>
      <c r="B2381" s="481"/>
      <c r="C2381" s="485"/>
    </row>
    <row r="2382" spans="1:3">
      <c r="A2382" s="481"/>
      <c r="B2382" s="481"/>
      <c r="C2382" s="485"/>
    </row>
    <row r="2383" spans="1:3">
      <c r="A2383" s="481"/>
      <c r="B2383" s="481"/>
      <c r="C2383" s="485"/>
    </row>
    <row r="2384" spans="1:3">
      <c r="A2384" s="481"/>
      <c r="B2384" s="481"/>
      <c r="C2384" s="485"/>
    </row>
    <row r="2385" spans="1:3">
      <c r="A2385" s="481"/>
      <c r="B2385" s="481"/>
      <c r="C2385" s="485"/>
    </row>
    <row r="2386" spans="1:3">
      <c r="A2386" s="481"/>
      <c r="B2386" s="481"/>
      <c r="C2386" s="485"/>
    </row>
    <row r="2387" spans="1:3">
      <c r="A2387" s="481"/>
      <c r="B2387" s="481"/>
      <c r="C2387" s="485"/>
    </row>
    <row r="2388" spans="1:3">
      <c r="A2388" s="481"/>
      <c r="B2388" s="481"/>
      <c r="C2388" s="485"/>
    </row>
    <row r="2389" spans="1:3">
      <c r="A2389" s="481"/>
      <c r="B2389" s="481"/>
      <c r="C2389" s="485"/>
    </row>
    <row r="2390" spans="1:3">
      <c r="A2390" s="481"/>
      <c r="B2390" s="481"/>
      <c r="C2390" s="485"/>
    </row>
    <row r="2391" spans="1:3">
      <c r="A2391" s="481"/>
      <c r="B2391" s="481"/>
      <c r="C2391" s="485"/>
    </row>
    <row r="2392" spans="1:3">
      <c r="A2392" s="481"/>
      <c r="B2392" s="481"/>
      <c r="C2392" s="485"/>
    </row>
    <row r="2393" spans="1:3">
      <c r="A2393" s="481"/>
      <c r="B2393" s="481"/>
      <c r="C2393" s="485"/>
    </row>
    <row r="2394" spans="1:3">
      <c r="A2394" s="481"/>
      <c r="B2394" s="481"/>
      <c r="C2394" s="485"/>
    </row>
    <row r="2395" spans="1:3">
      <c r="A2395" s="481"/>
      <c r="B2395" s="481"/>
      <c r="C2395" s="485"/>
    </row>
    <row r="2396" spans="1:3">
      <c r="A2396" s="481"/>
      <c r="B2396" s="481"/>
      <c r="C2396" s="485"/>
    </row>
    <row r="2397" spans="1:3">
      <c r="A2397" s="481"/>
      <c r="B2397" s="481"/>
      <c r="C2397" s="485"/>
    </row>
    <row r="2398" spans="1:3">
      <c r="A2398" s="481"/>
      <c r="B2398" s="481"/>
      <c r="C2398" s="485"/>
    </row>
    <row r="2399" spans="1:3">
      <c r="A2399" s="481"/>
      <c r="B2399" s="481"/>
      <c r="C2399" s="485"/>
    </row>
    <row r="2400" spans="1:3">
      <c r="A2400" s="481"/>
      <c r="B2400" s="481"/>
      <c r="C2400" s="485"/>
    </row>
    <row r="2401" spans="1:3">
      <c r="A2401" s="481"/>
      <c r="B2401" s="481"/>
      <c r="C2401" s="485"/>
    </row>
    <row r="2402" spans="1:3">
      <c r="A2402" s="481"/>
      <c r="B2402" s="481"/>
      <c r="C2402" s="485"/>
    </row>
    <row r="2403" spans="1:3">
      <c r="A2403" s="481"/>
      <c r="B2403" s="481"/>
      <c r="C2403" s="485"/>
    </row>
    <row r="2404" spans="1:3">
      <c r="A2404" s="481"/>
      <c r="B2404" s="481"/>
      <c r="C2404" s="485"/>
    </row>
    <row r="2405" spans="1:3">
      <c r="A2405" s="481"/>
      <c r="B2405" s="481"/>
      <c r="C2405" s="485"/>
    </row>
    <row r="2406" spans="1:3">
      <c r="A2406" s="481"/>
      <c r="B2406" s="481"/>
      <c r="C2406" s="485"/>
    </row>
    <row r="2407" spans="1:3">
      <c r="A2407" s="481"/>
      <c r="B2407" s="481"/>
      <c r="C2407" s="485"/>
    </row>
    <row r="2408" spans="1:3">
      <c r="A2408" s="481"/>
      <c r="B2408" s="481"/>
      <c r="C2408" s="485"/>
    </row>
    <row r="2409" spans="1:3">
      <c r="A2409" s="481"/>
      <c r="B2409" s="481"/>
      <c r="C2409" s="485"/>
    </row>
    <row r="2410" spans="1:3">
      <c r="A2410" s="481"/>
      <c r="B2410" s="481"/>
      <c r="C2410" s="485"/>
    </row>
    <row r="2411" spans="1:3">
      <c r="A2411" s="481"/>
      <c r="B2411" s="481"/>
      <c r="C2411" s="485"/>
    </row>
    <row r="2412" spans="1:3">
      <c r="A2412" s="481"/>
      <c r="B2412" s="481"/>
      <c r="C2412" s="485"/>
    </row>
    <row r="2413" spans="1:3">
      <c r="A2413" s="481"/>
      <c r="B2413" s="481"/>
      <c r="C2413" s="485"/>
    </row>
    <row r="2414" spans="1:3">
      <c r="A2414" s="481"/>
      <c r="B2414" s="481"/>
      <c r="C2414" s="485"/>
    </row>
    <row r="2415" spans="1:3">
      <c r="A2415" s="481"/>
      <c r="B2415" s="481"/>
      <c r="C2415" s="485"/>
    </row>
    <row r="2416" spans="1:3">
      <c r="A2416" s="481"/>
      <c r="B2416" s="481"/>
      <c r="C2416" s="485"/>
    </row>
    <row r="2417" spans="1:3">
      <c r="A2417" s="481"/>
      <c r="B2417" s="481"/>
      <c r="C2417" s="485"/>
    </row>
    <row r="2418" spans="1:3">
      <c r="A2418" s="481"/>
      <c r="B2418" s="481"/>
      <c r="C2418" s="485"/>
    </row>
    <row r="2419" spans="1:3">
      <c r="A2419" s="481"/>
      <c r="B2419" s="481"/>
      <c r="C2419" s="485"/>
    </row>
    <row r="2420" spans="1:3">
      <c r="A2420" s="481"/>
      <c r="B2420" s="481"/>
      <c r="C2420" s="485"/>
    </row>
    <row r="2421" spans="1:3">
      <c r="A2421" s="481"/>
      <c r="B2421" s="481"/>
      <c r="C2421" s="485"/>
    </row>
    <row r="2422" spans="1:3">
      <c r="A2422" s="481"/>
      <c r="B2422" s="481"/>
      <c r="C2422" s="485"/>
    </row>
    <row r="2423" spans="1:3">
      <c r="A2423" s="481"/>
      <c r="B2423" s="481"/>
      <c r="C2423" s="485"/>
    </row>
    <row r="2424" spans="1:3">
      <c r="A2424" s="481"/>
      <c r="B2424" s="481"/>
      <c r="C2424" s="485"/>
    </row>
    <row r="2425" spans="1:3">
      <c r="A2425" s="481"/>
      <c r="B2425" s="481"/>
      <c r="C2425" s="485"/>
    </row>
    <row r="2426" spans="1:3">
      <c r="A2426" s="481"/>
      <c r="B2426" s="481"/>
      <c r="C2426" s="485"/>
    </row>
    <row r="2427" spans="1:3">
      <c r="A2427" s="481"/>
      <c r="B2427" s="481"/>
      <c r="C2427" s="485"/>
    </row>
    <row r="2428" spans="1:3">
      <c r="A2428" s="481"/>
      <c r="B2428" s="481"/>
      <c r="C2428" s="485"/>
    </row>
    <row r="2429" spans="1:3">
      <c r="A2429" s="481"/>
      <c r="B2429" s="481"/>
      <c r="C2429" s="485"/>
    </row>
    <row r="2430" spans="1:3">
      <c r="A2430" s="481"/>
      <c r="B2430" s="481"/>
      <c r="C2430" s="485"/>
    </row>
    <row r="2431" spans="1:3">
      <c r="A2431" s="481"/>
      <c r="B2431" s="481"/>
      <c r="C2431" s="485"/>
    </row>
    <row r="2432" spans="1:3">
      <c r="A2432" s="481"/>
      <c r="B2432" s="481"/>
      <c r="C2432" s="485"/>
    </row>
    <row r="2433" spans="1:3">
      <c r="A2433" s="481"/>
      <c r="B2433" s="481"/>
      <c r="C2433" s="485"/>
    </row>
    <row r="2434" spans="1:3">
      <c r="A2434" s="481"/>
      <c r="B2434" s="481"/>
      <c r="C2434" s="485"/>
    </row>
    <row r="2435" spans="1:3">
      <c r="A2435" s="481"/>
      <c r="B2435" s="481"/>
      <c r="C2435" s="485"/>
    </row>
    <row r="2436" spans="1:3">
      <c r="A2436" s="481"/>
      <c r="B2436" s="481"/>
      <c r="C2436" s="485"/>
    </row>
    <row r="2437" spans="1:3">
      <c r="A2437" s="481"/>
      <c r="B2437" s="481"/>
      <c r="C2437" s="485"/>
    </row>
    <row r="2438" spans="1:3">
      <c r="A2438" s="481"/>
      <c r="B2438" s="481"/>
      <c r="C2438" s="485"/>
    </row>
    <row r="2439" spans="1:3">
      <c r="A2439" s="481"/>
      <c r="B2439" s="481"/>
      <c r="C2439" s="485"/>
    </row>
    <row r="2440" spans="1:3">
      <c r="A2440" s="481"/>
      <c r="B2440" s="481"/>
      <c r="C2440" s="485"/>
    </row>
    <row r="2441" spans="1:3">
      <c r="A2441" s="481"/>
      <c r="B2441" s="481"/>
      <c r="C2441" s="485"/>
    </row>
    <row r="2442" spans="1:3">
      <c r="A2442" s="481"/>
      <c r="B2442" s="481"/>
      <c r="C2442" s="485"/>
    </row>
    <row r="2443" spans="1:3">
      <c r="A2443" s="481"/>
      <c r="B2443" s="481"/>
      <c r="C2443" s="485"/>
    </row>
    <row r="2444" spans="1:3">
      <c r="A2444" s="481"/>
      <c r="B2444" s="481"/>
      <c r="C2444" s="485"/>
    </row>
    <row r="2445" spans="1:3">
      <c r="A2445" s="481"/>
      <c r="B2445" s="481"/>
      <c r="C2445" s="485"/>
    </row>
    <row r="2446" spans="1:3">
      <c r="A2446" s="481"/>
      <c r="B2446" s="481"/>
      <c r="C2446" s="485"/>
    </row>
    <row r="2447" spans="1:3">
      <c r="A2447" s="481"/>
      <c r="B2447" s="481"/>
      <c r="C2447" s="485"/>
    </row>
    <row r="2448" spans="1:3">
      <c r="A2448" s="481"/>
      <c r="B2448" s="481"/>
      <c r="C2448" s="485"/>
    </row>
    <row r="2449" spans="1:3">
      <c r="A2449" s="481"/>
      <c r="B2449" s="481"/>
      <c r="C2449" s="485"/>
    </row>
    <row r="2450" spans="1:3">
      <c r="A2450" s="481"/>
      <c r="B2450" s="481"/>
      <c r="C2450" s="485"/>
    </row>
    <row r="2451" spans="1:3">
      <c r="A2451" s="481"/>
      <c r="B2451" s="481"/>
      <c r="C2451" s="485"/>
    </row>
    <row r="2452" spans="1:3">
      <c r="A2452" s="481"/>
      <c r="B2452" s="481"/>
      <c r="C2452" s="485"/>
    </row>
    <row r="2453" spans="1:3">
      <c r="A2453" s="481"/>
      <c r="B2453" s="481"/>
      <c r="C2453" s="485"/>
    </row>
    <row r="2454" spans="1:3">
      <c r="A2454" s="481"/>
      <c r="B2454" s="481"/>
      <c r="C2454" s="485"/>
    </row>
    <row r="2455" spans="1:3">
      <c r="A2455" s="481"/>
      <c r="B2455" s="481"/>
      <c r="C2455" s="485"/>
    </row>
    <row r="2456" spans="1:3">
      <c r="A2456" s="481"/>
      <c r="B2456" s="481"/>
      <c r="C2456" s="485"/>
    </row>
    <row r="2457" spans="1:3">
      <c r="A2457" s="481"/>
      <c r="B2457" s="481"/>
      <c r="C2457" s="485"/>
    </row>
    <row r="2458" spans="1:3">
      <c r="A2458" s="481"/>
      <c r="B2458" s="481"/>
      <c r="C2458" s="485"/>
    </row>
    <row r="2459" spans="1:3">
      <c r="A2459" s="481"/>
      <c r="B2459" s="481"/>
      <c r="C2459" s="485"/>
    </row>
    <row r="2460" spans="1:3">
      <c r="A2460" s="481"/>
      <c r="B2460" s="481"/>
      <c r="C2460" s="485"/>
    </row>
    <row r="2461" spans="1:3">
      <c r="A2461" s="481"/>
      <c r="B2461" s="481"/>
      <c r="C2461" s="485"/>
    </row>
    <row r="2462" spans="1:3">
      <c r="A2462" s="481"/>
      <c r="B2462" s="481"/>
      <c r="C2462" s="485"/>
    </row>
    <row r="2463" spans="1:3">
      <c r="A2463" s="481"/>
      <c r="B2463" s="481"/>
      <c r="C2463" s="485"/>
    </row>
    <row r="2464" spans="1:3">
      <c r="A2464" s="481"/>
      <c r="B2464" s="481"/>
      <c r="C2464" s="485"/>
    </row>
    <row r="2465" spans="1:3">
      <c r="A2465" s="481"/>
      <c r="B2465" s="481"/>
      <c r="C2465" s="485"/>
    </row>
    <row r="2466" spans="1:3">
      <c r="A2466" s="481"/>
      <c r="B2466" s="481"/>
      <c r="C2466" s="485"/>
    </row>
    <row r="2467" spans="1:3">
      <c r="A2467" s="481"/>
      <c r="B2467" s="481"/>
      <c r="C2467" s="485"/>
    </row>
    <row r="2468" spans="1:3">
      <c r="A2468" s="481"/>
      <c r="B2468" s="481"/>
      <c r="C2468" s="485"/>
    </row>
    <row r="2469" spans="1:3">
      <c r="A2469" s="481"/>
      <c r="B2469" s="481"/>
      <c r="C2469" s="485"/>
    </row>
    <row r="2470" spans="1:3">
      <c r="A2470" s="481"/>
      <c r="B2470" s="481"/>
      <c r="C2470" s="485"/>
    </row>
    <row r="2471" spans="1:3">
      <c r="A2471" s="481"/>
      <c r="B2471" s="481"/>
      <c r="C2471" s="485"/>
    </row>
    <row r="2472" spans="1:3">
      <c r="A2472" s="481"/>
      <c r="B2472" s="481"/>
      <c r="C2472" s="485"/>
    </row>
    <row r="2473" spans="1:3">
      <c r="A2473" s="481"/>
      <c r="B2473" s="481"/>
      <c r="C2473" s="485"/>
    </row>
    <row r="2474" spans="1:3">
      <c r="A2474" s="481"/>
      <c r="B2474" s="481"/>
      <c r="C2474" s="485"/>
    </row>
    <row r="2475" spans="1:3">
      <c r="A2475" s="481"/>
      <c r="B2475" s="481"/>
      <c r="C2475" s="485"/>
    </row>
    <row r="2476" spans="1:3">
      <c r="A2476" s="481"/>
      <c r="B2476" s="481"/>
      <c r="C2476" s="485"/>
    </row>
    <row r="2477" spans="1:3">
      <c r="A2477" s="481"/>
      <c r="B2477" s="481"/>
      <c r="C2477" s="485"/>
    </row>
    <row r="2478" spans="1:3">
      <c r="A2478" s="481"/>
      <c r="B2478" s="481"/>
      <c r="C2478" s="485"/>
    </row>
    <row r="2479" spans="1:3">
      <c r="A2479" s="481"/>
      <c r="B2479" s="481"/>
      <c r="C2479" s="485"/>
    </row>
    <row r="2480" spans="1:3">
      <c r="A2480" s="481"/>
      <c r="B2480" s="481"/>
      <c r="C2480" s="485"/>
    </row>
    <row r="2481" spans="1:3">
      <c r="A2481" s="481"/>
      <c r="B2481" s="481"/>
      <c r="C2481" s="485"/>
    </row>
    <row r="2482" spans="1:3">
      <c r="A2482" s="481"/>
      <c r="B2482" s="481"/>
      <c r="C2482" s="485"/>
    </row>
    <row r="2483" spans="1:3">
      <c r="A2483" s="481"/>
      <c r="B2483" s="481"/>
      <c r="C2483" s="485"/>
    </row>
    <row r="2484" spans="1:3">
      <c r="A2484" s="481"/>
      <c r="B2484" s="481"/>
      <c r="C2484" s="485"/>
    </row>
    <row r="2485" spans="1:3">
      <c r="A2485" s="481"/>
      <c r="B2485" s="481"/>
      <c r="C2485" s="485"/>
    </row>
    <row r="2486" spans="1:3">
      <c r="A2486" s="481"/>
      <c r="B2486" s="481"/>
      <c r="C2486" s="485"/>
    </row>
    <row r="2487" spans="1:3">
      <c r="A2487" s="481"/>
      <c r="B2487" s="481"/>
      <c r="C2487" s="485"/>
    </row>
    <row r="2488" spans="1:3">
      <c r="A2488" s="481"/>
      <c r="B2488" s="481"/>
      <c r="C2488" s="485"/>
    </row>
    <row r="2489" spans="1:3">
      <c r="A2489" s="481"/>
      <c r="B2489" s="481"/>
      <c r="C2489" s="485"/>
    </row>
    <row r="2490" spans="1:3">
      <c r="A2490" s="481"/>
      <c r="B2490" s="481"/>
      <c r="C2490" s="485"/>
    </row>
    <row r="2491" spans="1:3">
      <c r="A2491" s="481"/>
      <c r="B2491" s="481"/>
      <c r="C2491" s="485"/>
    </row>
    <row r="2492" spans="1:3">
      <c r="A2492" s="481"/>
      <c r="B2492" s="481"/>
      <c r="C2492" s="485"/>
    </row>
    <row r="2493" spans="1:3">
      <c r="A2493" s="481"/>
      <c r="B2493" s="481"/>
      <c r="C2493" s="485"/>
    </row>
    <row r="2494" spans="1:3">
      <c r="A2494" s="481"/>
      <c r="B2494" s="481"/>
      <c r="C2494" s="485"/>
    </row>
    <row r="2495" spans="1:3">
      <c r="A2495" s="481"/>
      <c r="B2495" s="481"/>
      <c r="C2495" s="485"/>
    </row>
    <row r="2496" spans="1:3">
      <c r="A2496" s="481"/>
      <c r="B2496" s="481"/>
      <c r="C2496" s="485"/>
    </row>
    <row r="2497" spans="1:3">
      <c r="A2497" s="481"/>
      <c r="B2497" s="481"/>
      <c r="C2497" s="485"/>
    </row>
    <row r="2498" spans="1:3">
      <c r="A2498" s="481"/>
      <c r="B2498" s="481"/>
      <c r="C2498" s="485"/>
    </row>
    <row r="2499" spans="1:3">
      <c r="A2499" s="481"/>
      <c r="B2499" s="481"/>
      <c r="C2499" s="485"/>
    </row>
    <row r="2500" spans="1:3">
      <c r="A2500" s="481"/>
      <c r="B2500" s="481"/>
      <c r="C2500" s="485"/>
    </row>
    <row r="2501" spans="1:3">
      <c r="A2501" s="481"/>
      <c r="B2501" s="481"/>
      <c r="C2501" s="485"/>
    </row>
    <row r="2502" spans="1:3">
      <c r="A2502" s="481"/>
      <c r="B2502" s="481"/>
      <c r="C2502" s="485"/>
    </row>
    <row r="2503" spans="1:3">
      <c r="A2503" s="481"/>
      <c r="B2503" s="481"/>
      <c r="C2503" s="485"/>
    </row>
    <row r="2504" spans="1:3">
      <c r="A2504" s="481"/>
      <c r="B2504" s="481"/>
      <c r="C2504" s="485"/>
    </row>
    <row r="2505" spans="1:3">
      <c r="A2505" s="481"/>
      <c r="B2505" s="481"/>
      <c r="C2505" s="485"/>
    </row>
    <row r="2506" spans="1:3">
      <c r="A2506" s="481"/>
      <c r="B2506" s="481"/>
      <c r="C2506" s="485"/>
    </row>
    <row r="2507" spans="1:3">
      <c r="A2507" s="481"/>
      <c r="B2507" s="481"/>
      <c r="C2507" s="485"/>
    </row>
    <row r="2508" spans="1:3">
      <c r="A2508" s="481"/>
      <c r="B2508" s="481"/>
      <c r="C2508" s="485"/>
    </row>
    <row r="2509" spans="1:3">
      <c r="A2509" s="481"/>
      <c r="B2509" s="481"/>
      <c r="C2509" s="485"/>
    </row>
    <row r="2510" spans="1:3">
      <c r="A2510" s="481"/>
      <c r="B2510" s="481"/>
      <c r="C2510" s="485"/>
    </row>
    <row r="2511" spans="1:3">
      <c r="A2511" s="481"/>
      <c r="B2511" s="481"/>
      <c r="C2511" s="485"/>
    </row>
    <row r="2512" spans="1:3">
      <c r="A2512" s="481"/>
      <c r="B2512" s="481"/>
      <c r="C2512" s="485"/>
    </row>
    <row r="2513" spans="1:3">
      <c r="A2513" s="481"/>
      <c r="B2513" s="481"/>
      <c r="C2513" s="485"/>
    </row>
    <row r="2514" spans="1:3">
      <c r="A2514" s="481"/>
      <c r="B2514" s="481"/>
      <c r="C2514" s="485"/>
    </row>
    <row r="2515" spans="1:3">
      <c r="A2515" s="481"/>
      <c r="B2515" s="481"/>
      <c r="C2515" s="485"/>
    </row>
    <row r="2516" spans="1:3">
      <c r="A2516" s="481"/>
      <c r="B2516" s="481"/>
      <c r="C2516" s="485"/>
    </row>
    <row r="2517" spans="1:3">
      <c r="A2517" s="481"/>
      <c r="B2517" s="481"/>
      <c r="C2517" s="485"/>
    </row>
    <row r="2518" spans="1:3">
      <c r="A2518" s="481"/>
      <c r="B2518" s="481"/>
      <c r="C2518" s="485"/>
    </row>
    <row r="2519" spans="1:3">
      <c r="A2519" s="481"/>
      <c r="B2519" s="481"/>
      <c r="C2519" s="485"/>
    </row>
    <row r="2520" spans="1:3">
      <c r="A2520" s="481"/>
      <c r="B2520" s="481"/>
      <c r="C2520" s="485"/>
    </row>
    <row r="2521" spans="1:3">
      <c r="A2521" s="481"/>
      <c r="B2521" s="481"/>
      <c r="C2521" s="485"/>
    </row>
    <row r="2522" spans="1:3">
      <c r="A2522" s="481"/>
      <c r="B2522" s="481"/>
      <c r="C2522" s="485"/>
    </row>
    <row r="2523" spans="1:3">
      <c r="A2523" s="481"/>
      <c r="B2523" s="481"/>
      <c r="C2523" s="485"/>
    </row>
    <row r="2524" spans="1:3">
      <c r="A2524" s="481"/>
      <c r="B2524" s="481"/>
      <c r="C2524" s="485"/>
    </row>
    <row r="2525" spans="1:3">
      <c r="A2525" s="481"/>
      <c r="B2525" s="481"/>
      <c r="C2525" s="485"/>
    </row>
    <row r="2526" spans="1:3">
      <c r="A2526" s="481"/>
      <c r="B2526" s="481"/>
      <c r="C2526" s="485"/>
    </row>
    <row r="2527" spans="1:3">
      <c r="A2527" s="481"/>
      <c r="B2527" s="481"/>
      <c r="C2527" s="485"/>
    </row>
    <row r="2528" spans="1:3">
      <c r="A2528" s="481"/>
      <c r="B2528" s="481"/>
      <c r="C2528" s="485"/>
    </row>
    <row r="2529" spans="1:3">
      <c r="A2529" s="481"/>
      <c r="B2529" s="481"/>
      <c r="C2529" s="485"/>
    </row>
    <row r="2530" spans="1:3">
      <c r="A2530" s="481"/>
      <c r="B2530" s="481"/>
      <c r="C2530" s="485"/>
    </row>
    <row r="2531" spans="1:3">
      <c r="A2531" s="481"/>
      <c r="B2531" s="481"/>
      <c r="C2531" s="485"/>
    </row>
    <row r="2532" spans="1:3">
      <c r="A2532" s="481"/>
      <c r="B2532" s="481"/>
      <c r="C2532" s="485"/>
    </row>
    <row r="2533" spans="1:3">
      <c r="A2533" s="481"/>
      <c r="B2533" s="481"/>
      <c r="C2533" s="485"/>
    </row>
    <row r="2534" spans="1:3">
      <c r="A2534" s="481"/>
      <c r="B2534" s="481"/>
      <c r="C2534" s="485"/>
    </row>
    <row r="2535" spans="1:3">
      <c r="A2535" s="481"/>
      <c r="B2535" s="481"/>
      <c r="C2535" s="485"/>
    </row>
    <row r="2536" spans="1:3">
      <c r="A2536" s="481"/>
      <c r="B2536" s="481"/>
      <c r="C2536" s="485"/>
    </row>
    <row r="2537" spans="1:3">
      <c r="A2537" s="481"/>
      <c r="B2537" s="481"/>
      <c r="C2537" s="485"/>
    </row>
    <row r="2538" spans="1:3">
      <c r="A2538" s="481"/>
      <c r="B2538" s="481"/>
      <c r="C2538" s="485"/>
    </row>
    <row r="2539" spans="1:3">
      <c r="A2539" s="481"/>
      <c r="B2539" s="481"/>
      <c r="C2539" s="485"/>
    </row>
    <row r="2540" spans="1:3">
      <c r="A2540" s="481"/>
      <c r="B2540" s="481"/>
      <c r="C2540" s="485"/>
    </row>
    <row r="2541" spans="1:3">
      <c r="A2541" s="481"/>
      <c r="B2541" s="481"/>
      <c r="C2541" s="485"/>
    </row>
    <row r="2542" spans="1:3">
      <c r="A2542" s="481"/>
      <c r="B2542" s="481"/>
      <c r="C2542" s="485"/>
    </row>
    <row r="2543" spans="1:3">
      <c r="A2543" s="481"/>
      <c r="B2543" s="481"/>
      <c r="C2543" s="485"/>
    </row>
    <row r="2544" spans="1:3">
      <c r="A2544" s="481"/>
      <c r="B2544" s="481"/>
      <c r="C2544" s="485"/>
    </row>
    <row r="2545" spans="1:3">
      <c r="A2545" s="481"/>
      <c r="B2545" s="481"/>
      <c r="C2545" s="485"/>
    </row>
    <row r="2546" spans="1:3">
      <c r="A2546" s="481"/>
      <c r="B2546" s="481"/>
      <c r="C2546" s="485"/>
    </row>
    <row r="2547" spans="1:3">
      <c r="A2547" s="481"/>
      <c r="B2547" s="481"/>
      <c r="C2547" s="485"/>
    </row>
    <row r="2548" spans="1:3">
      <c r="A2548" s="481"/>
      <c r="B2548" s="481"/>
      <c r="C2548" s="485"/>
    </row>
    <row r="2549" spans="1:3">
      <c r="A2549" s="481"/>
      <c r="B2549" s="481"/>
      <c r="C2549" s="485"/>
    </row>
    <row r="2550" spans="1:3">
      <c r="A2550" s="481"/>
      <c r="B2550" s="481"/>
      <c r="C2550" s="485"/>
    </row>
    <row r="2551" spans="1:3">
      <c r="A2551" s="481"/>
      <c r="B2551" s="481"/>
      <c r="C2551" s="485"/>
    </row>
    <row r="2552" spans="1:3">
      <c r="A2552" s="481"/>
      <c r="B2552" s="481"/>
      <c r="C2552" s="485"/>
    </row>
    <row r="2553" spans="1:3">
      <c r="A2553" s="481"/>
      <c r="B2553" s="481"/>
      <c r="C2553" s="485"/>
    </row>
    <row r="2554" spans="1:3">
      <c r="A2554" s="481"/>
      <c r="B2554" s="481"/>
      <c r="C2554" s="485"/>
    </row>
    <row r="2555" spans="1:3">
      <c r="A2555" s="481"/>
      <c r="B2555" s="481"/>
      <c r="C2555" s="485"/>
    </row>
    <row r="2556" spans="1:3">
      <c r="A2556" s="481"/>
      <c r="B2556" s="481"/>
      <c r="C2556" s="485"/>
    </row>
    <row r="2557" spans="1:3">
      <c r="A2557" s="481"/>
      <c r="B2557" s="481"/>
      <c r="C2557" s="485"/>
    </row>
    <row r="2558" spans="1:3">
      <c r="A2558" s="481"/>
      <c r="B2558" s="481"/>
      <c r="C2558" s="485"/>
    </row>
    <row r="2559" spans="1:3">
      <c r="A2559" s="481"/>
      <c r="B2559" s="481"/>
      <c r="C2559" s="485"/>
    </row>
    <row r="2560" spans="1:3">
      <c r="A2560" s="481"/>
      <c r="B2560" s="481"/>
      <c r="C2560" s="485"/>
    </row>
    <row r="2561" spans="1:3">
      <c r="A2561" s="481"/>
      <c r="B2561" s="481"/>
      <c r="C2561" s="485"/>
    </row>
    <row r="2562" spans="1:3">
      <c r="A2562" s="481"/>
      <c r="B2562" s="481"/>
      <c r="C2562" s="485"/>
    </row>
    <row r="2563" spans="1:3">
      <c r="A2563" s="481"/>
      <c r="B2563" s="481"/>
      <c r="C2563" s="485"/>
    </row>
    <row r="2564" spans="1:3">
      <c r="A2564" s="481"/>
      <c r="B2564" s="481"/>
      <c r="C2564" s="485"/>
    </row>
    <row r="2565" spans="1:3">
      <c r="A2565" s="481"/>
      <c r="B2565" s="481"/>
      <c r="C2565" s="485"/>
    </row>
    <row r="2566" spans="1:3">
      <c r="A2566" s="481"/>
      <c r="B2566" s="481"/>
      <c r="C2566" s="485"/>
    </row>
    <row r="2567" spans="1:3">
      <c r="A2567" s="481"/>
      <c r="B2567" s="481"/>
      <c r="C2567" s="485"/>
    </row>
    <row r="2568" spans="1:3">
      <c r="A2568" s="481"/>
      <c r="B2568" s="481"/>
      <c r="C2568" s="485"/>
    </row>
    <row r="2569" spans="1:3">
      <c r="A2569" s="481"/>
      <c r="B2569" s="481"/>
      <c r="C2569" s="485"/>
    </row>
    <row r="2570" spans="1:3">
      <c r="A2570" s="481"/>
      <c r="B2570" s="481"/>
      <c r="C2570" s="485"/>
    </row>
    <row r="2571" spans="1:3">
      <c r="A2571" s="481"/>
      <c r="B2571" s="481"/>
      <c r="C2571" s="485"/>
    </row>
    <row r="2572" spans="1:3">
      <c r="A2572" s="481"/>
      <c r="B2572" s="481"/>
      <c r="C2572" s="485"/>
    </row>
    <row r="2573" spans="1:3">
      <c r="A2573" s="481"/>
      <c r="B2573" s="481"/>
      <c r="C2573" s="485"/>
    </row>
    <row r="2574" spans="1:3">
      <c r="A2574" s="481"/>
      <c r="B2574" s="481"/>
      <c r="C2574" s="485"/>
    </row>
    <row r="2575" spans="1:3">
      <c r="A2575" s="481"/>
      <c r="B2575" s="481"/>
      <c r="C2575" s="485"/>
    </row>
    <row r="2576" spans="1:3">
      <c r="A2576" s="481"/>
      <c r="B2576" s="481"/>
      <c r="C2576" s="485"/>
    </row>
    <row r="2577" spans="1:3">
      <c r="A2577" s="481"/>
      <c r="B2577" s="481"/>
      <c r="C2577" s="485"/>
    </row>
    <row r="2578" spans="1:3">
      <c r="A2578" s="481"/>
      <c r="B2578" s="481"/>
      <c r="C2578" s="485"/>
    </row>
    <row r="2579" spans="1:3">
      <c r="A2579" s="481"/>
      <c r="B2579" s="481"/>
      <c r="C2579" s="485"/>
    </row>
    <row r="2580" spans="1:3">
      <c r="A2580" s="481"/>
      <c r="B2580" s="481"/>
      <c r="C2580" s="485"/>
    </row>
    <row r="2581" spans="1:3">
      <c r="A2581" s="481"/>
      <c r="B2581" s="481"/>
      <c r="C2581" s="485"/>
    </row>
    <row r="2582" spans="1:3">
      <c r="A2582" s="481"/>
      <c r="B2582" s="481"/>
      <c r="C2582" s="485"/>
    </row>
    <row r="2583" spans="1:3">
      <c r="A2583" s="481"/>
      <c r="B2583" s="481"/>
      <c r="C2583" s="485"/>
    </row>
    <row r="2584" spans="1:3">
      <c r="A2584" s="481"/>
      <c r="B2584" s="481"/>
      <c r="C2584" s="485"/>
    </row>
    <row r="2585" spans="1:3">
      <c r="A2585" s="481"/>
      <c r="B2585" s="481"/>
      <c r="C2585" s="485"/>
    </row>
    <row r="2586" spans="1:3">
      <c r="A2586" s="481"/>
      <c r="B2586" s="481"/>
      <c r="C2586" s="485"/>
    </row>
    <row r="2587" spans="1:3">
      <c r="A2587" s="481"/>
      <c r="B2587" s="481"/>
      <c r="C2587" s="485"/>
    </row>
    <row r="2588" spans="1:3">
      <c r="A2588" s="481"/>
      <c r="B2588" s="481"/>
      <c r="C2588" s="485"/>
    </row>
    <row r="2589" spans="1:3">
      <c r="A2589" s="481"/>
      <c r="B2589" s="481"/>
      <c r="C2589" s="485"/>
    </row>
    <row r="2590" spans="1:3">
      <c r="A2590" s="481"/>
      <c r="B2590" s="481"/>
      <c r="C2590" s="485"/>
    </row>
    <row r="2591" spans="1:3">
      <c r="A2591" s="481"/>
      <c r="B2591" s="481"/>
      <c r="C2591" s="485"/>
    </row>
    <row r="2592" spans="1:3">
      <c r="A2592" s="481"/>
      <c r="B2592" s="481"/>
      <c r="C2592" s="485"/>
    </row>
    <row r="2593" spans="1:3">
      <c r="A2593" s="481"/>
      <c r="B2593" s="481"/>
      <c r="C2593" s="485"/>
    </row>
    <row r="2594" spans="1:3">
      <c r="A2594" s="481"/>
      <c r="B2594" s="481"/>
      <c r="C2594" s="485"/>
    </row>
    <row r="2595" spans="1:3">
      <c r="A2595" s="481"/>
      <c r="B2595" s="481"/>
      <c r="C2595" s="485"/>
    </row>
    <row r="2596" spans="1:3">
      <c r="A2596" s="481"/>
      <c r="B2596" s="481"/>
      <c r="C2596" s="485"/>
    </row>
    <row r="2597" spans="1:3">
      <c r="A2597" s="481"/>
      <c r="B2597" s="481"/>
      <c r="C2597" s="485"/>
    </row>
    <row r="2598" spans="1:3">
      <c r="A2598" s="481"/>
      <c r="B2598" s="481"/>
      <c r="C2598" s="485"/>
    </row>
    <row r="2599" spans="1:3">
      <c r="A2599" s="481"/>
      <c r="B2599" s="481"/>
      <c r="C2599" s="485"/>
    </row>
    <row r="2600" spans="1:3">
      <c r="A2600" s="481"/>
      <c r="B2600" s="481"/>
      <c r="C2600" s="485"/>
    </row>
    <row r="2601" spans="1:3">
      <c r="A2601" s="481"/>
      <c r="B2601" s="481"/>
      <c r="C2601" s="485"/>
    </row>
    <row r="2602" spans="1:3">
      <c r="A2602" s="481"/>
      <c r="B2602" s="481"/>
      <c r="C2602" s="485"/>
    </row>
    <row r="2603" spans="1:3">
      <c r="A2603" s="481"/>
      <c r="B2603" s="481"/>
      <c r="C2603" s="485"/>
    </row>
    <row r="2604" spans="1:3">
      <c r="A2604" s="481"/>
      <c r="B2604" s="481"/>
      <c r="C2604" s="485"/>
    </row>
    <row r="2605" spans="1:3">
      <c r="A2605" s="481"/>
      <c r="B2605" s="481"/>
      <c r="C2605" s="485"/>
    </row>
    <row r="2606" spans="1:3">
      <c r="A2606" s="481"/>
      <c r="B2606" s="481"/>
      <c r="C2606" s="485"/>
    </row>
    <row r="2607" spans="1:3">
      <c r="A2607" s="481"/>
      <c r="B2607" s="481"/>
      <c r="C2607" s="485"/>
    </row>
    <row r="2608" spans="1:3">
      <c r="A2608" s="481"/>
      <c r="B2608" s="481"/>
      <c r="C2608" s="485"/>
    </row>
    <row r="2609" spans="1:3">
      <c r="A2609" s="481"/>
      <c r="B2609" s="481"/>
      <c r="C2609" s="485"/>
    </row>
    <row r="2610" spans="1:3">
      <c r="A2610" s="481"/>
      <c r="B2610" s="481"/>
      <c r="C2610" s="485"/>
    </row>
    <row r="2611" spans="1:3">
      <c r="A2611" s="481"/>
      <c r="B2611" s="481"/>
      <c r="C2611" s="485"/>
    </row>
    <row r="2612" spans="1:3">
      <c r="A2612" s="481"/>
      <c r="B2612" s="481"/>
      <c r="C2612" s="485"/>
    </row>
    <row r="2613" spans="1:3">
      <c r="A2613" s="481"/>
      <c r="B2613" s="481"/>
      <c r="C2613" s="485"/>
    </row>
    <row r="2614" spans="1:3">
      <c r="A2614" s="481"/>
      <c r="B2614" s="481"/>
      <c r="C2614" s="485"/>
    </row>
    <row r="2615" spans="1:3">
      <c r="A2615" s="481"/>
      <c r="B2615" s="481"/>
      <c r="C2615" s="485"/>
    </row>
    <row r="2616" spans="1:3">
      <c r="A2616" s="481"/>
      <c r="B2616" s="481"/>
      <c r="C2616" s="485"/>
    </row>
    <row r="2617" spans="1:3">
      <c r="A2617" s="481"/>
      <c r="B2617" s="481"/>
      <c r="C2617" s="485"/>
    </row>
    <row r="2618" spans="1:3">
      <c r="A2618" s="481"/>
      <c r="B2618" s="481"/>
      <c r="C2618" s="485"/>
    </row>
    <row r="2619" spans="1:3">
      <c r="A2619" s="481"/>
      <c r="B2619" s="481"/>
      <c r="C2619" s="485"/>
    </row>
    <row r="2620" spans="1:3">
      <c r="A2620" s="481"/>
      <c r="B2620" s="481"/>
      <c r="C2620" s="485"/>
    </row>
    <row r="2621" spans="1:3">
      <c r="A2621" s="481"/>
      <c r="B2621" s="481"/>
      <c r="C2621" s="485"/>
    </row>
    <row r="2622" spans="1:3">
      <c r="A2622" s="481"/>
      <c r="B2622" s="481"/>
      <c r="C2622" s="485"/>
    </row>
    <row r="2623" spans="1:3">
      <c r="A2623" s="481"/>
      <c r="B2623" s="481"/>
      <c r="C2623" s="485"/>
    </row>
    <row r="2624" spans="1:3">
      <c r="A2624" s="481"/>
      <c r="B2624" s="481"/>
      <c r="C2624" s="485"/>
    </row>
    <row r="2625" spans="1:3">
      <c r="A2625" s="481"/>
      <c r="B2625" s="481"/>
      <c r="C2625" s="485"/>
    </row>
    <row r="2626" spans="1:3">
      <c r="A2626" s="481"/>
      <c r="B2626" s="481"/>
      <c r="C2626" s="485"/>
    </row>
    <row r="2627" spans="1:3">
      <c r="A2627" s="481"/>
      <c r="B2627" s="481"/>
      <c r="C2627" s="485"/>
    </row>
    <row r="2628" spans="1:3">
      <c r="A2628" s="481"/>
      <c r="B2628" s="481"/>
      <c r="C2628" s="485"/>
    </row>
    <row r="2629" spans="1:3">
      <c r="A2629" s="481"/>
      <c r="B2629" s="481"/>
      <c r="C2629" s="485"/>
    </row>
    <row r="2630" spans="1:3">
      <c r="A2630" s="481"/>
      <c r="B2630" s="481"/>
      <c r="C2630" s="485"/>
    </row>
    <row r="2631" spans="1:3">
      <c r="A2631" s="481"/>
      <c r="B2631" s="481"/>
      <c r="C2631" s="485"/>
    </row>
    <row r="2632" spans="1:3">
      <c r="A2632" s="481"/>
      <c r="B2632" s="481"/>
      <c r="C2632" s="485"/>
    </row>
    <row r="2633" spans="1:3">
      <c r="A2633" s="481"/>
      <c r="B2633" s="481"/>
      <c r="C2633" s="485"/>
    </row>
    <row r="2634" spans="1:3">
      <c r="A2634" s="481"/>
      <c r="B2634" s="481"/>
      <c r="C2634" s="485"/>
    </row>
    <row r="2635" spans="1:3">
      <c r="A2635" s="481"/>
      <c r="B2635" s="481"/>
      <c r="C2635" s="485"/>
    </row>
    <row r="2636" spans="1:3">
      <c r="A2636" s="481"/>
      <c r="B2636" s="481"/>
      <c r="C2636" s="485"/>
    </row>
    <row r="2637" spans="1:3">
      <c r="A2637" s="481"/>
      <c r="B2637" s="481"/>
      <c r="C2637" s="485"/>
    </row>
    <row r="2638" spans="1:3">
      <c r="A2638" s="481"/>
      <c r="B2638" s="481"/>
      <c r="C2638" s="485"/>
    </row>
    <row r="2639" spans="1:3">
      <c r="A2639" s="481"/>
      <c r="B2639" s="481"/>
      <c r="C2639" s="485"/>
    </row>
    <row r="2640" spans="1:3">
      <c r="A2640" s="481"/>
      <c r="B2640" s="481"/>
      <c r="C2640" s="485"/>
    </row>
    <row r="2641" spans="1:3">
      <c r="A2641" s="481"/>
      <c r="B2641" s="481"/>
      <c r="C2641" s="485"/>
    </row>
    <row r="2642" spans="1:3">
      <c r="A2642" s="481"/>
      <c r="B2642" s="481"/>
      <c r="C2642" s="485"/>
    </row>
    <row r="2643" spans="1:3">
      <c r="A2643" s="481"/>
      <c r="B2643" s="481"/>
      <c r="C2643" s="485"/>
    </row>
    <row r="2644" spans="1:3">
      <c r="A2644" s="481"/>
      <c r="B2644" s="481"/>
      <c r="C2644" s="485"/>
    </row>
    <row r="2645" spans="1:3">
      <c r="A2645" s="481"/>
      <c r="B2645" s="481"/>
      <c r="C2645" s="485"/>
    </row>
    <row r="2646" spans="1:3">
      <c r="A2646" s="481"/>
      <c r="B2646" s="481"/>
      <c r="C2646" s="485"/>
    </row>
    <row r="2647" spans="1:3">
      <c r="A2647" s="481"/>
      <c r="B2647" s="481"/>
      <c r="C2647" s="485"/>
    </row>
    <row r="2648" spans="1:3">
      <c r="A2648" s="481"/>
      <c r="B2648" s="481"/>
      <c r="C2648" s="485"/>
    </row>
    <row r="2649" spans="1:3">
      <c r="A2649" s="481"/>
      <c r="B2649" s="481"/>
      <c r="C2649" s="485"/>
    </row>
    <row r="2650" spans="1:3">
      <c r="A2650" s="481"/>
      <c r="B2650" s="481"/>
      <c r="C2650" s="485"/>
    </row>
    <row r="2651" spans="1:3">
      <c r="A2651" s="481"/>
      <c r="B2651" s="481"/>
      <c r="C2651" s="485"/>
    </row>
    <row r="2652" spans="1:3">
      <c r="A2652" s="481"/>
      <c r="B2652" s="481"/>
      <c r="C2652" s="485"/>
    </row>
    <row r="2653" spans="1:3">
      <c r="A2653" s="481"/>
      <c r="B2653" s="481"/>
      <c r="C2653" s="485"/>
    </row>
    <row r="2654" spans="1:3">
      <c r="A2654" s="481"/>
      <c r="B2654" s="481"/>
      <c r="C2654" s="485"/>
    </row>
    <row r="2655" spans="1:3">
      <c r="A2655" s="481"/>
      <c r="B2655" s="481"/>
      <c r="C2655" s="485"/>
    </row>
    <row r="2656" spans="1:3">
      <c r="A2656" s="481"/>
      <c r="B2656" s="481"/>
      <c r="C2656" s="485"/>
    </row>
    <row r="2657" spans="1:3">
      <c r="A2657" s="481"/>
      <c r="B2657" s="481"/>
      <c r="C2657" s="485"/>
    </row>
    <row r="2658" spans="1:3">
      <c r="A2658" s="481"/>
      <c r="B2658" s="481"/>
      <c r="C2658" s="485"/>
    </row>
    <row r="2659" spans="1:3">
      <c r="A2659" s="481"/>
      <c r="B2659" s="481"/>
      <c r="C2659" s="485"/>
    </row>
    <row r="2660" spans="1:3">
      <c r="A2660" s="481"/>
      <c r="B2660" s="481"/>
      <c r="C2660" s="485"/>
    </row>
    <row r="2661" spans="1:3">
      <c r="A2661" s="481"/>
      <c r="B2661" s="481"/>
      <c r="C2661" s="485"/>
    </row>
    <row r="2662" spans="1:3">
      <c r="A2662" s="481"/>
      <c r="B2662" s="481"/>
      <c r="C2662" s="485"/>
    </row>
    <row r="2663" spans="1:3">
      <c r="A2663" s="481"/>
      <c r="B2663" s="481"/>
      <c r="C2663" s="485"/>
    </row>
    <row r="2664" spans="1:3">
      <c r="A2664" s="481"/>
      <c r="B2664" s="481"/>
      <c r="C2664" s="485"/>
    </row>
    <row r="2665" spans="1:3">
      <c r="A2665" s="481"/>
      <c r="B2665" s="481"/>
      <c r="C2665" s="485"/>
    </row>
    <row r="2666" spans="1:3">
      <c r="A2666" s="481"/>
      <c r="B2666" s="481"/>
      <c r="C2666" s="485"/>
    </row>
    <row r="2667" spans="1:3">
      <c r="A2667" s="481"/>
      <c r="B2667" s="481"/>
      <c r="C2667" s="485"/>
    </row>
    <row r="2668" spans="1:3">
      <c r="A2668" s="481"/>
      <c r="B2668" s="481"/>
      <c r="C2668" s="485"/>
    </row>
    <row r="2669" spans="1:3">
      <c r="A2669" s="481"/>
      <c r="B2669" s="481"/>
      <c r="C2669" s="485"/>
    </row>
    <row r="2670" spans="1:3">
      <c r="A2670" s="481"/>
      <c r="B2670" s="481"/>
      <c r="C2670" s="485"/>
    </row>
    <row r="2671" spans="1:3">
      <c r="A2671" s="481"/>
      <c r="B2671" s="481"/>
      <c r="C2671" s="485"/>
    </row>
    <row r="2672" spans="1:3">
      <c r="A2672" s="481"/>
      <c r="B2672" s="481"/>
      <c r="C2672" s="485"/>
    </row>
    <row r="2673" spans="1:3">
      <c r="A2673" s="481"/>
      <c r="B2673" s="481"/>
      <c r="C2673" s="485"/>
    </row>
    <row r="2674" spans="1:3">
      <c r="A2674" s="481"/>
      <c r="B2674" s="481"/>
      <c r="C2674" s="485"/>
    </row>
    <row r="2675" spans="1:3">
      <c r="A2675" s="481"/>
      <c r="B2675" s="481"/>
      <c r="C2675" s="485"/>
    </row>
    <row r="2676" spans="1:3">
      <c r="A2676" s="481"/>
      <c r="B2676" s="481"/>
      <c r="C2676" s="485"/>
    </row>
    <row r="2677" spans="1:3">
      <c r="A2677" s="481"/>
      <c r="B2677" s="481"/>
      <c r="C2677" s="485"/>
    </row>
    <row r="2678" spans="1:3">
      <c r="A2678" s="481"/>
      <c r="B2678" s="481"/>
      <c r="C2678" s="485"/>
    </row>
    <row r="2679" spans="1:3">
      <c r="A2679" s="481"/>
      <c r="B2679" s="481"/>
      <c r="C2679" s="485"/>
    </row>
    <row r="2680" spans="1:3">
      <c r="A2680" s="481"/>
      <c r="B2680" s="481"/>
      <c r="C2680" s="485"/>
    </row>
    <row r="2681" spans="1:3">
      <c r="A2681" s="481"/>
      <c r="B2681" s="481"/>
      <c r="C2681" s="485"/>
    </row>
    <row r="2682" spans="1:3">
      <c r="A2682" s="481"/>
      <c r="B2682" s="481"/>
      <c r="C2682" s="485"/>
    </row>
    <row r="2683" spans="1:3">
      <c r="A2683" s="481"/>
      <c r="B2683" s="481"/>
      <c r="C2683" s="485"/>
    </row>
    <row r="2684" spans="1:3">
      <c r="A2684" s="481"/>
      <c r="B2684" s="481"/>
      <c r="C2684" s="485"/>
    </row>
    <row r="2685" spans="1:3">
      <c r="A2685" s="481"/>
      <c r="B2685" s="481"/>
      <c r="C2685" s="485"/>
    </row>
    <row r="2686" spans="1:3">
      <c r="A2686" s="481"/>
      <c r="B2686" s="481"/>
      <c r="C2686" s="485"/>
    </row>
    <row r="2687" spans="1:3">
      <c r="A2687" s="481"/>
      <c r="B2687" s="481"/>
      <c r="C2687" s="485"/>
    </row>
    <row r="2688" spans="1:3">
      <c r="A2688" s="481"/>
      <c r="B2688" s="481"/>
      <c r="C2688" s="485"/>
    </row>
    <row r="2689" spans="1:3">
      <c r="A2689" s="481"/>
      <c r="B2689" s="481"/>
      <c r="C2689" s="485"/>
    </row>
    <row r="2690" spans="1:3">
      <c r="A2690" s="481"/>
      <c r="B2690" s="481"/>
      <c r="C2690" s="485"/>
    </row>
    <row r="2691" spans="1:3">
      <c r="A2691" s="481"/>
      <c r="B2691" s="481"/>
      <c r="C2691" s="485"/>
    </row>
    <row r="2692" spans="1:3">
      <c r="A2692" s="481"/>
      <c r="B2692" s="481"/>
      <c r="C2692" s="485"/>
    </row>
    <row r="2693" spans="1:3">
      <c r="A2693" s="481"/>
      <c r="B2693" s="481"/>
      <c r="C2693" s="485"/>
    </row>
    <row r="2694" spans="1:3">
      <c r="A2694" s="481"/>
      <c r="B2694" s="481"/>
      <c r="C2694" s="485"/>
    </row>
    <row r="2695" spans="1:3">
      <c r="A2695" s="481"/>
      <c r="B2695" s="481"/>
      <c r="C2695" s="485"/>
    </row>
    <row r="2696" spans="1:3">
      <c r="A2696" s="481"/>
      <c r="B2696" s="481"/>
      <c r="C2696" s="485"/>
    </row>
    <row r="2697" spans="1:3">
      <c r="A2697" s="481"/>
      <c r="B2697" s="481"/>
      <c r="C2697" s="485"/>
    </row>
    <row r="2698" spans="1:3">
      <c r="A2698" s="481"/>
      <c r="B2698" s="481"/>
      <c r="C2698" s="485"/>
    </row>
    <row r="2699" spans="1:3">
      <c r="A2699" s="481"/>
      <c r="B2699" s="481"/>
      <c r="C2699" s="485"/>
    </row>
    <row r="2700" spans="1:3">
      <c r="A2700" s="481"/>
      <c r="B2700" s="481"/>
      <c r="C2700" s="485"/>
    </row>
    <row r="2701" spans="1:3">
      <c r="A2701" s="481"/>
      <c r="B2701" s="481"/>
      <c r="C2701" s="485"/>
    </row>
    <row r="2702" spans="1:3">
      <c r="A2702" s="481"/>
      <c r="B2702" s="481"/>
      <c r="C2702" s="485"/>
    </row>
    <row r="2703" spans="1:3">
      <c r="A2703" s="481"/>
      <c r="B2703" s="481"/>
      <c r="C2703" s="485"/>
    </row>
    <row r="2704" spans="1:3">
      <c r="A2704" s="481"/>
      <c r="B2704" s="481"/>
      <c r="C2704" s="485"/>
    </row>
    <row r="2705" spans="1:3">
      <c r="A2705" s="481"/>
      <c r="B2705" s="481"/>
      <c r="C2705" s="485"/>
    </row>
    <row r="2706" spans="1:3">
      <c r="A2706" s="481"/>
      <c r="B2706" s="481"/>
      <c r="C2706" s="485"/>
    </row>
    <row r="2707" spans="1:3">
      <c r="A2707" s="481"/>
      <c r="B2707" s="481"/>
      <c r="C2707" s="485"/>
    </row>
    <row r="2708" spans="1:3">
      <c r="A2708" s="481"/>
      <c r="B2708" s="481"/>
      <c r="C2708" s="485"/>
    </row>
    <row r="2709" spans="1:3">
      <c r="A2709" s="481"/>
      <c r="B2709" s="481"/>
      <c r="C2709" s="485"/>
    </row>
    <row r="2710" spans="1:3">
      <c r="A2710" s="481"/>
      <c r="B2710" s="481"/>
      <c r="C2710" s="485"/>
    </row>
    <row r="2711" spans="1:3">
      <c r="A2711" s="481"/>
      <c r="B2711" s="481"/>
      <c r="C2711" s="485"/>
    </row>
    <row r="2712" spans="1:3">
      <c r="A2712" s="481"/>
      <c r="B2712" s="481"/>
      <c r="C2712" s="485"/>
    </row>
    <row r="2713" spans="1:3">
      <c r="A2713" s="481"/>
      <c r="B2713" s="481"/>
      <c r="C2713" s="485"/>
    </row>
    <row r="2714" spans="1:3">
      <c r="A2714" s="481"/>
      <c r="B2714" s="481"/>
      <c r="C2714" s="485"/>
    </row>
    <row r="2715" spans="1:3">
      <c r="A2715" s="481"/>
      <c r="B2715" s="481"/>
      <c r="C2715" s="485"/>
    </row>
    <row r="2716" spans="1:3">
      <c r="A2716" s="481"/>
      <c r="B2716" s="481"/>
      <c r="C2716" s="485"/>
    </row>
    <row r="2717" spans="1:3">
      <c r="A2717" s="481"/>
      <c r="B2717" s="481"/>
      <c r="C2717" s="485"/>
    </row>
    <row r="2718" spans="1:3">
      <c r="A2718" s="481"/>
      <c r="B2718" s="481"/>
      <c r="C2718" s="485"/>
    </row>
    <row r="2719" spans="1:3">
      <c r="A2719" s="481"/>
      <c r="B2719" s="481"/>
      <c r="C2719" s="485"/>
    </row>
    <row r="2720" spans="1:3">
      <c r="A2720" s="481"/>
      <c r="B2720" s="481"/>
      <c r="C2720" s="485"/>
    </row>
    <row r="2721" spans="1:3">
      <c r="A2721" s="481"/>
      <c r="B2721" s="481"/>
      <c r="C2721" s="485"/>
    </row>
    <row r="2722" spans="1:3">
      <c r="A2722" s="481"/>
      <c r="B2722" s="481"/>
      <c r="C2722" s="485"/>
    </row>
    <row r="2723" spans="1:3">
      <c r="A2723" s="481"/>
      <c r="B2723" s="481"/>
      <c r="C2723" s="485"/>
    </row>
    <row r="2724" spans="1:3">
      <c r="A2724" s="481"/>
      <c r="B2724" s="481"/>
      <c r="C2724" s="485"/>
    </row>
    <row r="2725" spans="1:3">
      <c r="A2725" s="481"/>
      <c r="B2725" s="481"/>
      <c r="C2725" s="485"/>
    </row>
    <row r="2726" spans="1:3">
      <c r="A2726" s="481"/>
      <c r="B2726" s="481"/>
      <c r="C2726" s="485"/>
    </row>
    <row r="2727" spans="1:3">
      <c r="A2727" s="481"/>
      <c r="B2727" s="481"/>
      <c r="C2727" s="485"/>
    </row>
    <row r="2728" spans="1:3">
      <c r="A2728" s="481"/>
      <c r="B2728" s="481"/>
      <c r="C2728" s="485"/>
    </row>
    <row r="2729" spans="1:3">
      <c r="A2729" s="481"/>
      <c r="B2729" s="481"/>
      <c r="C2729" s="485"/>
    </row>
    <row r="2730" spans="1:3">
      <c r="A2730" s="481"/>
      <c r="B2730" s="481"/>
      <c r="C2730" s="485"/>
    </row>
    <row r="2731" spans="1:3">
      <c r="A2731" s="481"/>
      <c r="B2731" s="481"/>
      <c r="C2731" s="485"/>
    </row>
    <row r="2732" spans="1:3">
      <c r="A2732" s="481"/>
      <c r="B2732" s="481"/>
      <c r="C2732" s="485"/>
    </row>
    <row r="2733" spans="1:3">
      <c r="A2733" s="481"/>
      <c r="B2733" s="481"/>
      <c r="C2733" s="485"/>
    </row>
    <row r="2734" spans="1:3">
      <c r="A2734" s="481"/>
      <c r="B2734" s="481"/>
      <c r="C2734" s="485"/>
    </row>
    <row r="2735" spans="1:3">
      <c r="A2735" s="481"/>
      <c r="B2735" s="481"/>
      <c r="C2735" s="485"/>
    </row>
    <row r="2736" spans="1:3">
      <c r="A2736" s="481"/>
      <c r="B2736" s="481"/>
      <c r="C2736" s="485"/>
    </row>
    <row r="2737" spans="1:3">
      <c r="A2737" s="481"/>
      <c r="B2737" s="481"/>
      <c r="C2737" s="485"/>
    </row>
    <row r="2738" spans="1:3">
      <c r="A2738" s="481"/>
      <c r="B2738" s="481"/>
      <c r="C2738" s="485"/>
    </row>
    <row r="2739" spans="1:3">
      <c r="A2739" s="481"/>
      <c r="B2739" s="481"/>
      <c r="C2739" s="485"/>
    </row>
    <row r="2740" spans="1:3">
      <c r="A2740" s="481"/>
      <c r="B2740" s="481"/>
      <c r="C2740" s="485"/>
    </row>
    <row r="2741" spans="1:3">
      <c r="A2741" s="481"/>
      <c r="B2741" s="481"/>
      <c r="C2741" s="485"/>
    </row>
    <row r="2742" spans="1:3">
      <c r="A2742" s="481"/>
      <c r="B2742" s="481"/>
      <c r="C2742" s="485"/>
    </row>
    <row r="2743" spans="1:3">
      <c r="A2743" s="481"/>
      <c r="B2743" s="481"/>
      <c r="C2743" s="485"/>
    </row>
    <row r="2744" spans="1:3">
      <c r="A2744" s="481"/>
      <c r="B2744" s="481"/>
      <c r="C2744" s="485"/>
    </row>
    <row r="2745" spans="1:3">
      <c r="A2745" s="481"/>
      <c r="B2745" s="481"/>
      <c r="C2745" s="485"/>
    </row>
    <row r="2746" spans="1:3">
      <c r="A2746" s="481"/>
      <c r="B2746" s="481"/>
      <c r="C2746" s="485"/>
    </row>
    <row r="2747" spans="1:3">
      <c r="A2747" s="481"/>
      <c r="B2747" s="481"/>
      <c r="C2747" s="485"/>
    </row>
    <row r="2748" spans="1:3">
      <c r="A2748" s="481"/>
      <c r="B2748" s="481"/>
      <c r="C2748" s="485"/>
    </row>
    <row r="2749" spans="1:3">
      <c r="A2749" s="481"/>
      <c r="B2749" s="481"/>
      <c r="C2749" s="485"/>
    </row>
    <row r="2750" spans="1:3">
      <c r="A2750" s="481"/>
      <c r="B2750" s="481"/>
      <c r="C2750" s="485"/>
    </row>
    <row r="2751" spans="1:3">
      <c r="A2751" s="481"/>
      <c r="B2751" s="481"/>
      <c r="C2751" s="485"/>
    </row>
    <row r="2752" spans="1:3">
      <c r="A2752" s="481"/>
      <c r="B2752" s="481"/>
      <c r="C2752" s="485"/>
    </row>
    <row r="2753" spans="1:3">
      <c r="A2753" s="481"/>
      <c r="B2753" s="481"/>
      <c r="C2753" s="485"/>
    </row>
    <row r="2754" spans="1:3">
      <c r="A2754" s="481"/>
      <c r="B2754" s="481"/>
      <c r="C2754" s="485"/>
    </row>
    <row r="2755" spans="1:3">
      <c r="A2755" s="481"/>
      <c r="B2755" s="481"/>
      <c r="C2755" s="485"/>
    </row>
    <row r="2756" spans="1:3">
      <c r="A2756" s="481"/>
      <c r="B2756" s="481"/>
      <c r="C2756" s="485"/>
    </row>
    <row r="2757" spans="1:3">
      <c r="A2757" s="481"/>
      <c r="B2757" s="481"/>
      <c r="C2757" s="485"/>
    </row>
    <row r="2758" spans="1:3">
      <c r="A2758" s="481"/>
      <c r="B2758" s="481"/>
      <c r="C2758" s="485"/>
    </row>
    <row r="2759" spans="1:3">
      <c r="A2759" s="481"/>
      <c r="B2759" s="481"/>
      <c r="C2759" s="485"/>
    </row>
    <row r="2760" spans="1:3">
      <c r="A2760" s="481"/>
      <c r="B2760" s="481"/>
      <c r="C2760" s="485"/>
    </row>
    <row r="2761" spans="1:3">
      <c r="A2761" s="481"/>
      <c r="B2761" s="481"/>
      <c r="C2761" s="485"/>
    </row>
    <row r="2762" spans="1:3">
      <c r="A2762" s="481"/>
      <c r="B2762" s="481"/>
      <c r="C2762" s="485"/>
    </row>
    <row r="2763" spans="1:3">
      <c r="A2763" s="481"/>
      <c r="B2763" s="481"/>
      <c r="C2763" s="485"/>
    </row>
    <row r="2764" spans="1:3">
      <c r="A2764" s="481"/>
      <c r="B2764" s="481"/>
      <c r="C2764" s="485"/>
    </row>
    <row r="2765" spans="1:3">
      <c r="A2765" s="481"/>
      <c r="B2765" s="481"/>
      <c r="C2765" s="485"/>
    </row>
    <row r="2766" spans="1:3">
      <c r="A2766" s="481"/>
      <c r="B2766" s="481"/>
      <c r="C2766" s="485"/>
    </row>
    <row r="2767" spans="1:3">
      <c r="A2767" s="481"/>
      <c r="B2767" s="481"/>
      <c r="C2767" s="485"/>
    </row>
    <row r="2768" spans="1:3">
      <c r="A2768" s="481"/>
      <c r="B2768" s="481"/>
      <c r="C2768" s="485"/>
    </row>
    <row r="2769" spans="1:3">
      <c r="A2769" s="481"/>
      <c r="B2769" s="481"/>
      <c r="C2769" s="485"/>
    </row>
    <row r="2770" spans="1:3">
      <c r="A2770" s="481"/>
      <c r="B2770" s="481"/>
      <c r="C2770" s="485"/>
    </row>
    <row r="2771" spans="1:3">
      <c r="A2771" s="481"/>
      <c r="B2771" s="481"/>
      <c r="C2771" s="485"/>
    </row>
    <row r="2772" spans="1:3">
      <c r="A2772" s="481"/>
      <c r="B2772" s="481"/>
      <c r="C2772" s="485"/>
    </row>
    <row r="2773" spans="1:3">
      <c r="A2773" s="481"/>
      <c r="B2773" s="481"/>
      <c r="C2773" s="485"/>
    </row>
    <row r="2774" spans="1:3">
      <c r="A2774" s="481"/>
      <c r="B2774" s="481"/>
      <c r="C2774" s="485"/>
    </row>
    <row r="2775" spans="1:3">
      <c r="A2775" s="481"/>
      <c r="B2775" s="481"/>
      <c r="C2775" s="485"/>
    </row>
    <row r="2776" spans="1:3">
      <c r="A2776" s="481"/>
      <c r="B2776" s="481"/>
      <c r="C2776" s="485"/>
    </row>
    <row r="2777" spans="1:3">
      <c r="A2777" s="481"/>
      <c r="B2777" s="481"/>
      <c r="C2777" s="485"/>
    </row>
    <row r="2778" spans="1:3">
      <c r="A2778" s="481"/>
      <c r="B2778" s="481"/>
      <c r="C2778" s="485"/>
    </row>
    <row r="2779" spans="1:3">
      <c r="A2779" s="481"/>
      <c r="B2779" s="481"/>
      <c r="C2779" s="485"/>
    </row>
    <row r="2780" spans="1:3">
      <c r="A2780" s="481"/>
      <c r="B2780" s="481"/>
      <c r="C2780" s="485"/>
    </row>
    <row r="2781" spans="1:3">
      <c r="A2781" s="481"/>
      <c r="B2781" s="481"/>
      <c r="C2781" s="485"/>
    </row>
    <row r="2782" spans="1:3">
      <c r="A2782" s="481"/>
      <c r="B2782" s="481"/>
      <c r="C2782" s="485"/>
    </row>
    <row r="2783" spans="1:3">
      <c r="A2783" s="481"/>
      <c r="B2783" s="481"/>
      <c r="C2783" s="485"/>
    </row>
    <row r="2784" spans="1:3">
      <c r="A2784" s="481"/>
      <c r="B2784" s="481"/>
      <c r="C2784" s="485"/>
    </row>
    <row r="2785" spans="1:3">
      <c r="A2785" s="481"/>
      <c r="B2785" s="481"/>
      <c r="C2785" s="485"/>
    </row>
    <row r="2786" spans="1:3">
      <c r="A2786" s="481"/>
      <c r="B2786" s="481"/>
      <c r="C2786" s="485"/>
    </row>
    <row r="2787" spans="1:3">
      <c r="A2787" s="481"/>
      <c r="B2787" s="481"/>
      <c r="C2787" s="485"/>
    </row>
    <row r="2788" spans="1:3">
      <c r="A2788" s="481"/>
      <c r="B2788" s="481"/>
      <c r="C2788" s="485"/>
    </row>
    <row r="2789" spans="1:3">
      <c r="A2789" s="481"/>
      <c r="B2789" s="481"/>
      <c r="C2789" s="485"/>
    </row>
    <row r="2790" spans="1:3">
      <c r="A2790" s="481"/>
      <c r="B2790" s="481"/>
      <c r="C2790" s="485"/>
    </row>
    <row r="2791" spans="1:3">
      <c r="A2791" s="481"/>
      <c r="B2791" s="481"/>
      <c r="C2791" s="485"/>
    </row>
    <row r="2792" spans="1:3">
      <c r="A2792" s="481"/>
      <c r="B2792" s="481"/>
      <c r="C2792" s="485"/>
    </row>
    <row r="2793" spans="1:3">
      <c r="A2793" s="481"/>
      <c r="B2793" s="481"/>
      <c r="C2793" s="485"/>
    </row>
    <row r="2794" spans="1:3">
      <c r="A2794" s="481"/>
      <c r="B2794" s="481"/>
      <c r="C2794" s="485"/>
    </row>
    <row r="2795" spans="1:3">
      <c r="A2795" s="481"/>
      <c r="B2795" s="481"/>
      <c r="C2795" s="485"/>
    </row>
    <row r="2796" spans="1:3">
      <c r="A2796" s="481"/>
      <c r="B2796" s="481"/>
      <c r="C2796" s="485"/>
    </row>
    <row r="2797" spans="1:3">
      <c r="A2797" s="481"/>
      <c r="B2797" s="481"/>
      <c r="C2797" s="485"/>
    </row>
    <row r="2798" spans="1:3">
      <c r="A2798" s="481"/>
      <c r="B2798" s="481"/>
      <c r="C2798" s="485"/>
    </row>
    <row r="2799" spans="1:3">
      <c r="A2799" s="481"/>
      <c r="B2799" s="481"/>
      <c r="C2799" s="485"/>
    </row>
    <row r="2800" spans="1:3">
      <c r="A2800" s="481"/>
      <c r="B2800" s="481"/>
      <c r="C2800" s="485"/>
    </row>
    <row r="2801" spans="1:3">
      <c r="A2801" s="481"/>
      <c r="B2801" s="481"/>
      <c r="C2801" s="485"/>
    </row>
    <row r="2802" spans="1:3">
      <c r="A2802" s="481"/>
      <c r="B2802" s="481"/>
      <c r="C2802" s="485"/>
    </row>
    <row r="2803" spans="1:3">
      <c r="A2803" s="481"/>
      <c r="B2803" s="481"/>
      <c r="C2803" s="485"/>
    </row>
    <row r="2804" spans="1:3">
      <c r="A2804" s="481"/>
      <c r="B2804" s="481"/>
      <c r="C2804" s="485"/>
    </row>
    <row r="2805" spans="1:3">
      <c r="A2805" s="481"/>
      <c r="B2805" s="481"/>
      <c r="C2805" s="485"/>
    </row>
    <row r="2806" spans="1:3">
      <c r="A2806" s="481"/>
      <c r="B2806" s="481"/>
      <c r="C2806" s="485"/>
    </row>
    <row r="2807" spans="1:3">
      <c r="A2807" s="481"/>
      <c r="B2807" s="481"/>
      <c r="C2807" s="485"/>
    </row>
    <row r="2808" spans="1:3">
      <c r="A2808" s="481"/>
      <c r="B2808" s="481"/>
      <c r="C2808" s="485"/>
    </row>
    <row r="2809" spans="1:3">
      <c r="A2809" s="481"/>
      <c r="B2809" s="481"/>
      <c r="C2809" s="485"/>
    </row>
    <row r="2810" spans="1:3">
      <c r="A2810" s="481"/>
      <c r="B2810" s="481"/>
      <c r="C2810" s="485"/>
    </row>
    <row r="2811" spans="1:3">
      <c r="A2811" s="481"/>
      <c r="B2811" s="481"/>
      <c r="C2811" s="485"/>
    </row>
    <row r="2812" spans="1:3">
      <c r="A2812" s="481"/>
      <c r="B2812" s="481"/>
      <c r="C2812" s="485"/>
    </row>
    <row r="2813" spans="1:3">
      <c r="A2813" s="481"/>
      <c r="B2813" s="481"/>
      <c r="C2813" s="485"/>
    </row>
    <row r="2814" spans="1:3">
      <c r="A2814" s="481"/>
      <c r="B2814" s="481"/>
      <c r="C2814" s="485"/>
    </row>
    <row r="2815" spans="1:3">
      <c r="A2815" s="481"/>
      <c r="B2815" s="481"/>
      <c r="C2815" s="485"/>
    </row>
    <row r="2816" spans="1:3">
      <c r="A2816" s="481"/>
      <c r="B2816" s="481"/>
      <c r="C2816" s="485"/>
    </row>
    <row r="2817" spans="1:3">
      <c r="A2817" s="481"/>
      <c r="B2817" s="481"/>
      <c r="C2817" s="485"/>
    </row>
    <row r="2818" spans="1:3">
      <c r="A2818" s="481"/>
      <c r="B2818" s="481"/>
      <c r="C2818" s="485"/>
    </row>
    <row r="2819" spans="1:3">
      <c r="A2819" s="481"/>
      <c r="B2819" s="481"/>
      <c r="C2819" s="485"/>
    </row>
    <row r="2820" spans="1:3">
      <c r="A2820" s="481"/>
      <c r="B2820" s="481"/>
      <c r="C2820" s="485"/>
    </row>
    <row r="2821" spans="1:3">
      <c r="A2821" s="481"/>
      <c r="B2821" s="481"/>
      <c r="C2821" s="485"/>
    </row>
    <row r="2822" spans="1:3">
      <c r="A2822" s="481"/>
      <c r="B2822" s="481"/>
      <c r="C2822" s="485"/>
    </row>
    <row r="2823" spans="1:3">
      <c r="A2823" s="481"/>
      <c r="B2823" s="481"/>
      <c r="C2823" s="485"/>
    </row>
    <row r="2824" spans="1:3">
      <c r="A2824" s="481"/>
      <c r="B2824" s="481"/>
      <c r="C2824" s="485"/>
    </row>
    <row r="2825" spans="1:3">
      <c r="A2825" s="481"/>
      <c r="B2825" s="481"/>
      <c r="C2825" s="485"/>
    </row>
    <row r="2826" spans="1:3">
      <c r="A2826" s="481"/>
      <c r="B2826" s="481"/>
      <c r="C2826" s="485"/>
    </row>
    <row r="2827" spans="1:3">
      <c r="A2827" s="481"/>
      <c r="B2827" s="481"/>
      <c r="C2827" s="485"/>
    </row>
    <row r="2828" spans="1:3">
      <c r="A2828" s="481"/>
      <c r="B2828" s="481"/>
      <c r="C2828" s="485"/>
    </row>
    <row r="2829" spans="1:3">
      <c r="A2829" s="481"/>
      <c r="B2829" s="481"/>
      <c r="C2829" s="485"/>
    </row>
    <row r="2830" spans="1:3">
      <c r="A2830" s="481"/>
      <c r="B2830" s="481"/>
      <c r="C2830" s="485"/>
    </row>
    <row r="2831" spans="1:3">
      <c r="A2831" s="481"/>
      <c r="B2831" s="481"/>
      <c r="C2831" s="485"/>
    </row>
    <row r="2832" spans="1:3">
      <c r="A2832" s="481"/>
      <c r="B2832" s="481"/>
      <c r="C2832" s="485"/>
    </row>
    <row r="2833" spans="1:3">
      <c r="A2833" s="481"/>
      <c r="B2833" s="481"/>
      <c r="C2833" s="485"/>
    </row>
    <row r="2834" spans="1:3">
      <c r="A2834" s="481"/>
      <c r="B2834" s="481"/>
      <c r="C2834" s="485"/>
    </row>
    <row r="2835" spans="1:3">
      <c r="A2835" s="481"/>
      <c r="B2835" s="481"/>
      <c r="C2835" s="485"/>
    </row>
    <row r="2836" spans="1:3">
      <c r="A2836" s="481"/>
      <c r="B2836" s="481"/>
      <c r="C2836" s="485"/>
    </row>
    <row r="2837" spans="1:3">
      <c r="A2837" s="481"/>
      <c r="B2837" s="481"/>
      <c r="C2837" s="485"/>
    </row>
    <row r="2838" spans="1:3">
      <c r="A2838" s="481"/>
      <c r="B2838" s="481"/>
      <c r="C2838" s="485"/>
    </row>
    <row r="2839" spans="1:3">
      <c r="A2839" s="481"/>
      <c r="B2839" s="481"/>
      <c r="C2839" s="485"/>
    </row>
    <row r="2840" spans="1:3">
      <c r="A2840" s="481"/>
      <c r="B2840" s="481"/>
      <c r="C2840" s="485"/>
    </row>
    <row r="2841" spans="1:3">
      <c r="A2841" s="481"/>
      <c r="B2841" s="481"/>
      <c r="C2841" s="485"/>
    </row>
    <row r="2842" spans="1:3">
      <c r="A2842" s="481"/>
      <c r="B2842" s="481"/>
      <c r="C2842" s="485"/>
    </row>
    <row r="2843" spans="1:3">
      <c r="A2843" s="481"/>
      <c r="B2843" s="481"/>
      <c r="C2843" s="485"/>
    </row>
    <row r="2844" spans="1:3">
      <c r="A2844" s="481"/>
      <c r="B2844" s="481"/>
      <c r="C2844" s="485"/>
    </row>
    <row r="2845" spans="1:3">
      <c r="A2845" s="481"/>
      <c r="B2845" s="481"/>
      <c r="C2845" s="485"/>
    </row>
    <row r="2846" spans="1:3">
      <c r="A2846" s="481"/>
      <c r="B2846" s="481"/>
      <c r="C2846" s="485"/>
    </row>
    <row r="2847" spans="1:3">
      <c r="A2847" s="481"/>
      <c r="B2847" s="481"/>
      <c r="C2847" s="485"/>
    </row>
    <row r="2848" spans="1:3">
      <c r="A2848" s="481"/>
      <c r="B2848" s="481"/>
      <c r="C2848" s="485"/>
    </row>
    <row r="2849" spans="1:3">
      <c r="A2849" s="481"/>
      <c r="B2849" s="481"/>
      <c r="C2849" s="485"/>
    </row>
    <row r="2850" spans="1:3">
      <c r="A2850" s="481"/>
      <c r="B2850" s="481"/>
      <c r="C2850" s="485"/>
    </row>
    <row r="2851" spans="1:3">
      <c r="A2851" s="481"/>
      <c r="B2851" s="481"/>
      <c r="C2851" s="485"/>
    </row>
    <row r="2852" spans="1:3">
      <c r="A2852" s="481"/>
      <c r="B2852" s="481"/>
      <c r="C2852" s="485"/>
    </row>
    <row r="2853" spans="1:3">
      <c r="A2853" s="481"/>
      <c r="B2853" s="481"/>
      <c r="C2853" s="485"/>
    </row>
    <row r="2854" spans="1:3">
      <c r="A2854" s="481"/>
      <c r="B2854" s="481"/>
      <c r="C2854" s="485"/>
    </row>
    <row r="2855" spans="1:3">
      <c r="A2855" s="481"/>
      <c r="B2855" s="481"/>
      <c r="C2855" s="485"/>
    </row>
    <row r="2856" spans="1:3">
      <c r="A2856" s="481"/>
      <c r="B2856" s="481"/>
      <c r="C2856" s="485"/>
    </row>
    <row r="2857" spans="1:3">
      <c r="A2857" s="481"/>
      <c r="B2857" s="481"/>
      <c r="C2857" s="485"/>
    </row>
    <row r="2858" spans="1:3">
      <c r="A2858" s="481"/>
      <c r="B2858" s="481"/>
      <c r="C2858" s="485"/>
    </row>
    <row r="2859" spans="1:3">
      <c r="A2859" s="481"/>
      <c r="B2859" s="481"/>
      <c r="C2859" s="485"/>
    </row>
    <row r="2860" spans="1:3">
      <c r="A2860" s="481"/>
      <c r="B2860" s="481"/>
      <c r="C2860" s="485"/>
    </row>
    <row r="2861" spans="1:3">
      <c r="A2861" s="481"/>
      <c r="B2861" s="481"/>
      <c r="C2861" s="485"/>
    </row>
    <row r="2862" spans="1:3">
      <c r="A2862" s="481"/>
      <c r="B2862" s="481"/>
      <c r="C2862" s="485"/>
    </row>
    <row r="2863" spans="1:3">
      <c r="A2863" s="481"/>
      <c r="B2863" s="481"/>
      <c r="C2863" s="485"/>
    </row>
    <row r="2864" spans="1:3">
      <c r="A2864" s="481"/>
      <c r="B2864" s="481"/>
      <c r="C2864" s="485"/>
    </row>
    <row r="2865" spans="1:3">
      <c r="A2865" s="481"/>
      <c r="B2865" s="481"/>
      <c r="C2865" s="485"/>
    </row>
    <row r="2866" spans="1:3">
      <c r="A2866" s="481"/>
      <c r="B2866" s="481"/>
      <c r="C2866" s="485"/>
    </row>
    <row r="2867" spans="1:3">
      <c r="A2867" s="481"/>
      <c r="B2867" s="481"/>
      <c r="C2867" s="485"/>
    </row>
    <row r="2868" spans="1:3">
      <c r="A2868" s="481"/>
      <c r="B2868" s="481"/>
      <c r="C2868" s="485"/>
    </row>
    <row r="2869" spans="1:3">
      <c r="A2869" s="481"/>
      <c r="B2869" s="481"/>
      <c r="C2869" s="485"/>
    </row>
    <row r="2870" spans="1:3">
      <c r="A2870" s="481"/>
      <c r="B2870" s="481"/>
      <c r="C2870" s="485"/>
    </row>
    <row r="2871" spans="1:3">
      <c r="A2871" s="481"/>
      <c r="B2871" s="481"/>
      <c r="C2871" s="485"/>
    </row>
    <row r="2872" spans="1:3">
      <c r="A2872" s="481"/>
      <c r="B2872" s="481"/>
      <c r="C2872" s="485"/>
    </row>
    <row r="2873" spans="1:3">
      <c r="A2873" s="481"/>
      <c r="B2873" s="481"/>
      <c r="C2873" s="485"/>
    </row>
    <row r="2874" spans="1:3">
      <c r="A2874" s="481"/>
      <c r="B2874" s="481"/>
      <c r="C2874" s="485"/>
    </row>
    <row r="2875" spans="1:3">
      <c r="A2875" s="481"/>
      <c r="B2875" s="481"/>
      <c r="C2875" s="485"/>
    </row>
    <row r="2876" spans="1:3">
      <c r="A2876" s="481"/>
      <c r="B2876" s="481"/>
      <c r="C2876" s="485"/>
    </row>
    <row r="2877" spans="1:3">
      <c r="A2877" s="481"/>
      <c r="B2877" s="481"/>
      <c r="C2877" s="485"/>
    </row>
    <row r="2878" spans="1:3">
      <c r="A2878" s="481"/>
      <c r="B2878" s="481"/>
      <c r="C2878" s="485"/>
    </row>
    <row r="2879" spans="1:3">
      <c r="A2879" s="481"/>
      <c r="B2879" s="481"/>
      <c r="C2879" s="485"/>
    </row>
    <row r="2880" spans="1:3">
      <c r="A2880" s="481"/>
      <c r="B2880" s="481"/>
      <c r="C2880" s="485"/>
    </row>
    <row r="2881" spans="1:3">
      <c r="A2881" s="481"/>
      <c r="B2881" s="481"/>
      <c r="C2881" s="485"/>
    </row>
    <row r="2882" spans="1:3">
      <c r="A2882" s="481"/>
      <c r="B2882" s="481"/>
      <c r="C2882" s="485"/>
    </row>
    <row r="2883" spans="1:3">
      <c r="A2883" s="481"/>
      <c r="B2883" s="481"/>
      <c r="C2883" s="485"/>
    </row>
    <row r="2884" spans="1:3">
      <c r="A2884" s="481"/>
      <c r="B2884" s="481"/>
      <c r="C2884" s="485"/>
    </row>
    <row r="2885" spans="1:3">
      <c r="A2885" s="481"/>
      <c r="B2885" s="481"/>
      <c r="C2885" s="485"/>
    </row>
    <row r="2886" spans="1:3">
      <c r="A2886" s="481"/>
      <c r="B2886" s="481"/>
      <c r="C2886" s="485"/>
    </row>
    <row r="2887" spans="1:3">
      <c r="A2887" s="481"/>
      <c r="B2887" s="481"/>
      <c r="C2887" s="485"/>
    </row>
    <row r="2888" spans="1:3">
      <c r="A2888" s="481"/>
      <c r="B2888" s="481"/>
      <c r="C2888" s="485"/>
    </row>
    <row r="2889" spans="1:3">
      <c r="A2889" s="481"/>
      <c r="B2889" s="481"/>
      <c r="C2889" s="485"/>
    </row>
    <row r="2890" spans="1:3">
      <c r="A2890" s="481"/>
      <c r="B2890" s="481"/>
      <c r="C2890" s="485"/>
    </row>
    <row r="2891" spans="1:3">
      <c r="A2891" s="481"/>
      <c r="B2891" s="481"/>
      <c r="C2891" s="485"/>
    </row>
    <row r="2892" spans="1:3">
      <c r="A2892" s="481"/>
      <c r="B2892" s="481"/>
      <c r="C2892" s="485"/>
    </row>
    <row r="2893" spans="1:3">
      <c r="A2893" s="481"/>
      <c r="B2893" s="481"/>
      <c r="C2893" s="485"/>
    </row>
    <row r="2894" spans="1:3">
      <c r="A2894" s="481"/>
      <c r="B2894" s="481"/>
      <c r="C2894" s="485"/>
    </row>
    <row r="2895" spans="1:3">
      <c r="A2895" s="481"/>
      <c r="B2895" s="481"/>
      <c r="C2895" s="485"/>
    </row>
    <row r="2896" spans="1:3">
      <c r="A2896" s="481"/>
      <c r="B2896" s="481"/>
      <c r="C2896" s="485"/>
    </row>
    <row r="2897" spans="1:3">
      <c r="A2897" s="481"/>
      <c r="B2897" s="481"/>
      <c r="C2897" s="485"/>
    </row>
    <row r="2898" spans="1:3">
      <c r="A2898" s="481"/>
      <c r="B2898" s="481"/>
      <c r="C2898" s="485"/>
    </row>
    <row r="2899" spans="1:3">
      <c r="A2899" s="481"/>
      <c r="B2899" s="481"/>
      <c r="C2899" s="485"/>
    </row>
    <row r="2900" spans="1:3">
      <c r="A2900" s="481"/>
      <c r="B2900" s="481"/>
      <c r="C2900" s="485"/>
    </row>
    <row r="2901" spans="1:3">
      <c r="A2901" s="481"/>
      <c r="B2901" s="481"/>
      <c r="C2901" s="485"/>
    </row>
    <row r="2902" spans="1:3">
      <c r="A2902" s="481"/>
      <c r="B2902" s="481"/>
      <c r="C2902" s="485"/>
    </row>
    <row r="2903" spans="1:3">
      <c r="A2903" s="481"/>
      <c r="B2903" s="481"/>
      <c r="C2903" s="485"/>
    </row>
    <row r="2904" spans="1:3">
      <c r="A2904" s="481"/>
      <c r="B2904" s="481"/>
      <c r="C2904" s="485"/>
    </row>
    <row r="2905" spans="1:3">
      <c r="A2905" s="481"/>
      <c r="B2905" s="481"/>
      <c r="C2905" s="485"/>
    </row>
    <row r="2906" spans="1:3">
      <c r="A2906" s="481"/>
      <c r="B2906" s="481"/>
      <c r="C2906" s="485"/>
    </row>
    <row r="2907" spans="1:3">
      <c r="A2907" s="481"/>
      <c r="B2907" s="481"/>
      <c r="C2907" s="485"/>
    </row>
    <row r="2908" spans="1:3">
      <c r="A2908" s="481"/>
      <c r="B2908" s="481"/>
      <c r="C2908" s="485"/>
    </row>
    <row r="2909" spans="1:3">
      <c r="A2909" s="481"/>
      <c r="B2909" s="481"/>
      <c r="C2909" s="485"/>
    </row>
    <row r="2910" spans="1:3">
      <c r="A2910" s="481"/>
      <c r="B2910" s="481"/>
      <c r="C2910" s="485"/>
    </row>
    <row r="2911" spans="1:3">
      <c r="A2911" s="481"/>
      <c r="B2911" s="481"/>
      <c r="C2911" s="485"/>
    </row>
    <row r="2912" spans="1:3">
      <c r="A2912" s="481"/>
      <c r="B2912" s="481"/>
      <c r="C2912" s="485"/>
    </row>
    <row r="2913" spans="1:3">
      <c r="A2913" s="481"/>
      <c r="B2913" s="481"/>
      <c r="C2913" s="485"/>
    </row>
    <row r="2914" spans="1:3">
      <c r="A2914" s="481"/>
      <c r="B2914" s="481"/>
      <c r="C2914" s="485"/>
    </row>
    <row r="2915" spans="1:3">
      <c r="A2915" s="481"/>
      <c r="B2915" s="481"/>
      <c r="C2915" s="485"/>
    </row>
    <row r="2916" spans="1:3">
      <c r="A2916" s="481"/>
      <c r="B2916" s="481"/>
      <c r="C2916" s="485"/>
    </row>
    <row r="2917" spans="1:3">
      <c r="A2917" s="481"/>
      <c r="B2917" s="481"/>
      <c r="C2917" s="485"/>
    </row>
    <row r="2918" spans="1:3">
      <c r="A2918" s="481"/>
      <c r="B2918" s="481"/>
      <c r="C2918" s="485"/>
    </row>
    <row r="2919" spans="1:3">
      <c r="A2919" s="481"/>
      <c r="B2919" s="481"/>
      <c r="C2919" s="485"/>
    </row>
    <row r="2920" spans="1:3">
      <c r="A2920" s="481"/>
      <c r="B2920" s="481"/>
      <c r="C2920" s="485"/>
    </row>
    <row r="2921" spans="1:3">
      <c r="A2921" s="481"/>
      <c r="B2921" s="481"/>
      <c r="C2921" s="485"/>
    </row>
    <row r="2922" spans="1:3">
      <c r="A2922" s="481"/>
      <c r="B2922" s="481"/>
      <c r="C2922" s="485"/>
    </row>
    <row r="2923" spans="1:3">
      <c r="A2923" s="481"/>
      <c r="B2923" s="481"/>
      <c r="C2923" s="485"/>
    </row>
    <row r="2924" spans="1:3">
      <c r="A2924" s="481"/>
      <c r="B2924" s="481"/>
      <c r="C2924" s="485"/>
    </row>
    <row r="2925" spans="1:3">
      <c r="A2925" s="481"/>
      <c r="B2925" s="481"/>
      <c r="C2925" s="485"/>
    </row>
    <row r="2926" spans="1:3">
      <c r="A2926" s="481"/>
      <c r="B2926" s="481"/>
      <c r="C2926" s="485"/>
    </row>
    <row r="2927" spans="1:3">
      <c r="A2927" s="481"/>
      <c r="B2927" s="481"/>
      <c r="C2927" s="485"/>
    </row>
    <row r="2928" spans="1:3">
      <c r="A2928" s="481"/>
      <c r="B2928" s="481"/>
      <c r="C2928" s="485"/>
    </row>
    <row r="2929" spans="1:3">
      <c r="A2929" s="481"/>
      <c r="B2929" s="481"/>
      <c r="C2929" s="485"/>
    </row>
    <row r="2930" spans="1:3">
      <c r="A2930" s="481"/>
      <c r="B2930" s="481"/>
      <c r="C2930" s="485"/>
    </row>
    <row r="2931" spans="1:3">
      <c r="A2931" s="481"/>
      <c r="B2931" s="481"/>
      <c r="C2931" s="485"/>
    </row>
    <row r="2932" spans="1:3">
      <c r="A2932" s="481"/>
      <c r="B2932" s="481"/>
      <c r="C2932" s="485"/>
    </row>
    <row r="2933" spans="1:3">
      <c r="A2933" s="481"/>
      <c r="B2933" s="481"/>
      <c r="C2933" s="485"/>
    </row>
    <row r="2934" spans="1:3">
      <c r="A2934" s="481"/>
      <c r="B2934" s="481"/>
      <c r="C2934" s="485"/>
    </row>
    <row r="2935" spans="1:3">
      <c r="A2935" s="481"/>
      <c r="B2935" s="481"/>
      <c r="C2935" s="485"/>
    </row>
    <row r="2936" spans="1:3">
      <c r="A2936" s="481"/>
      <c r="B2936" s="481"/>
      <c r="C2936" s="485"/>
    </row>
    <row r="2937" spans="1:3">
      <c r="A2937" s="481"/>
      <c r="B2937" s="481"/>
      <c r="C2937" s="485"/>
    </row>
    <row r="2938" spans="1:3">
      <c r="A2938" s="481"/>
      <c r="B2938" s="481"/>
      <c r="C2938" s="485"/>
    </row>
    <row r="2939" spans="1:3">
      <c r="A2939" s="481"/>
      <c r="B2939" s="481"/>
      <c r="C2939" s="485"/>
    </row>
    <row r="2940" spans="1:3">
      <c r="A2940" s="481"/>
      <c r="B2940" s="481"/>
      <c r="C2940" s="485"/>
    </row>
    <row r="2941" spans="1:3">
      <c r="A2941" s="481"/>
      <c r="B2941" s="481"/>
      <c r="C2941" s="485"/>
    </row>
    <row r="2942" spans="1:3">
      <c r="A2942" s="481"/>
      <c r="B2942" s="481"/>
      <c r="C2942" s="485"/>
    </row>
    <row r="2943" spans="1:3">
      <c r="A2943" s="481"/>
      <c r="B2943" s="481"/>
      <c r="C2943" s="485"/>
    </row>
    <row r="2944" spans="1:3">
      <c r="A2944" s="481"/>
      <c r="B2944" s="481"/>
      <c r="C2944" s="485"/>
    </row>
    <row r="2945" spans="1:3">
      <c r="A2945" s="481"/>
      <c r="B2945" s="481"/>
      <c r="C2945" s="485"/>
    </row>
    <row r="2946" spans="1:3">
      <c r="A2946" s="481"/>
      <c r="B2946" s="481"/>
      <c r="C2946" s="485"/>
    </row>
    <row r="2947" spans="1:3">
      <c r="A2947" s="481"/>
      <c r="B2947" s="481"/>
      <c r="C2947" s="485"/>
    </row>
    <row r="2948" spans="1:3">
      <c r="A2948" s="481"/>
      <c r="B2948" s="481"/>
      <c r="C2948" s="485"/>
    </row>
    <row r="2949" spans="1:3">
      <c r="A2949" s="481"/>
      <c r="B2949" s="481"/>
      <c r="C2949" s="485"/>
    </row>
    <row r="2950" spans="1:3">
      <c r="A2950" s="481"/>
      <c r="B2950" s="481"/>
      <c r="C2950" s="485"/>
    </row>
    <row r="2951" spans="1:3">
      <c r="A2951" s="481"/>
      <c r="B2951" s="481"/>
      <c r="C2951" s="485"/>
    </row>
    <row r="2952" spans="1:3">
      <c r="A2952" s="481"/>
      <c r="B2952" s="481"/>
      <c r="C2952" s="485"/>
    </row>
    <row r="2953" spans="1:3">
      <c r="A2953" s="481"/>
      <c r="B2953" s="481"/>
      <c r="C2953" s="485"/>
    </row>
    <row r="2954" spans="1:3">
      <c r="A2954" s="481"/>
      <c r="B2954" s="481"/>
      <c r="C2954" s="485"/>
    </row>
    <row r="2955" spans="1:3">
      <c r="A2955" s="481"/>
      <c r="B2955" s="481"/>
      <c r="C2955" s="485"/>
    </row>
    <row r="2956" spans="1:3">
      <c r="A2956" s="481"/>
      <c r="B2956" s="481"/>
      <c r="C2956" s="485"/>
    </row>
    <row r="2957" spans="1:3">
      <c r="A2957" s="481"/>
      <c r="B2957" s="481"/>
      <c r="C2957" s="485"/>
    </row>
    <row r="2958" spans="1:3">
      <c r="A2958" s="481"/>
      <c r="B2958" s="481"/>
      <c r="C2958" s="485"/>
    </row>
    <row r="2959" spans="1:3">
      <c r="A2959" s="481"/>
      <c r="B2959" s="481"/>
      <c r="C2959" s="485"/>
    </row>
    <row r="2960" spans="1:3">
      <c r="A2960" s="481"/>
      <c r="B2960" s="481"/>
      <c r="C2960" s="485"/>
    </row>
    <row r="2961" spans="1:3">
      <c r="A2961" s="481"/>
      <c r="B2961" s="481"/>
      <c r="C2961" s="485"/>
    </row>
    <row r="2962" spans="1:3">
      <c r="A2962" s="481"/>
      <c r="B2962" s="481"/>
      <c r="C2962" s="485"/>
    </row>
    <row r="2963" spans="1:3">
      <c r="A2963" s="481"/>
      <c r="B2963" s="481"/>
      <c r="C2963" s="485"/>
    </row>
    <row r="2964" spans="1:3">
      <c r="A2964" s="481"/>
      <c r="B2964" s="481"/>
      <c r="C2964" s="485"/>
    </row>
    <row r="2965" spans="1:3">
      <c r="A2965" s="481"/>
      <c r="B2965" s="481"/>
      <c r="C2965" s="485"/>
    </row>
    <row r="2966" spans="1:3">
      <c r="A2966" s="481"/>
      <c r="B2966" s="481"/>
      <c r="C2966" s="485"/>
    </row>
    <row r="2967" spans="1:3">
      <c r="A2967" s="481"/>
      <c r="B2967" s="481"/>
      <c r="C2967" s="485"/>
    </row>
    <row r="2968" spans="1:3">
      <c r="A2968" s="481"/>
      <c r="B2968" s="481"/>
      <c r="C2968" s="485"/>
    </row>
    <row r="2969" spans="1:3">
      <c r="A2969" s="481"/>
      <c r="B2969" s="481"/>
      <c r="C2969" s="485"/>
    </row>
    <row r="2970" spans="1:3">
      <c r="A2970" s="481"/>
      <c r="B2970" s="481"/>
      <c r="C2970" s="485"/>
    </row>
    <row r="2971" spans="1:3">
      <c r="A2971" s="481"/>
      <c r="B2971" s="481"/>
      <c r="C2971" s="485"/>
    </row>
    <row r="2972" spans="1:3">
      <c r="A2972" s="481"/>
      <c r="B2972" s="481"/>
      <c r="C2972" s="485"/>
    </row>
    <row r="2973" spans="1:3">
      <c r="A2973" s="481"/>
      <c r="B2973" s="481"/>
      <c r="C2973" s="485"/>
    </row>
    <row r="2974" spans="1:3">
      <c r="A2974" s="481"/>
      <c r="B2974" s="481"/>
      <c r="C2974" s="485"/>
    </row>
    <row r="2975" spans="1:3">
      <c r="A2975" s="481"/>
      <c r="B2975" s="481"/>
      <c r="C2975" s="485"/>
    </row>
    <row r="2976" spans="1:3">
      <c r="A2976" s="481"/>
      <c r="B2976" s="481"/>
      <c r="C2976" s="485"/>
    </row>
    <row r="2977" spans="1:3">
      <c r="A2977" s="481"/>
      <c r="B2977" s="481"/>
      <c r="C2977" s="485"/>
    </row>
    <row r="2978" spans="1:3">
      <c r="A2978" s="481"/>
      <c r="B2978" s="481"/>
      <c r="C2978" s="485"/>
    </row>
    <row r="2979" spans="1:3">
      <c r="A2979" s="481"/>
      <c r="B2979" s="481"/>
      <c r="C2979" s="485"/>
    </row>
    <row r="2980" spans="1:3">
      <c r="A2980" s="481"/>
      <c r="B2980" s="481"/>
      <c r="C2980" s="485"/>
    </row>
    <row r="2981" spans="1:3">
      <c r="A2981" s="481"/>
      <c r="B2981" s="481"/>
      <c r="C2981" s="485"/>
    </row>
    <row r="2982" spans="1:3">
      <c r="A2982" s="481"/>
      <c r="B2982" s="481"/>
      <c r="C2982" s="485"/>
    </row>
    <row r="2983" spans="1:3">
      <c r="A2983" s="481"/>
      <c r="B2983" s="481"/>
      <c r="C2983" s="485"/>
    </row>
    <row r="2984" spans="1:3">
      <c r="A2984" s="481"/>
      <c r="B2984" s="481"/>
      <c r="C2984" s="485"/>
    </row>
    <row r="2985" spans="1:3">
      <c r="A2985" s="481"/>
      <c r="B2985" s="481"/>
      <c r="C2985" s="485"/>
    </row>
    <row r="2986" spans="1:3">
      <c r="A2986" s="481"/>
      <c r="B2986" s="481"/>
      <c r="C2986" s="485"/>
    </row>
    <row r="2987" spans="1:3">
      <c r="A2987" s="481"/>
      <c r="B2987" s="481"/>
      <c r="C2987" s="485"/>
    </row>
    <row r="2988" spans="1:3">
      <c r="A2988" s="481"/>
      <c r="B2988" s="481"/>
      <c r="C2988" s="485"/>
    </row>
    <row r="2989" spans="1:3">
      <c r="A2989" s="481"/>
      <c r="B2989" s="481"/>
      <c r="C2989" s="485"/>
    </row>
    <row r="2990" spans="1:3">
      <c r="A2990" s="481"/>
      <c r="B2990" s="481"/>
      <c r="C2990" s="485"/>
    </row>
    <row r="2991" spans="1:3">
      <c r="A2991" s="481"/>
      <c r="B2991" s="481"/>
      <c r="C2991" s="485"/>
    </row>
    <row r="2992" spans="1:3">
      <c r="A2992" s="481"/>
      <c r="B2992" s="481"/>
      <c r="C2992" s="485"/>
    </row>
    <row r="2993" spans="1:3">
      <c r="A2993" s="481"/>
      <c r="B2993" s="481"/>
      <c r="C2993" s="485"/>
    </row>
    <row r="2994" spans="1:3">
      <c r="A2994" s="481"/>
      <c r="B2994" s="481"/>
      <c r="C2994" s="485"/>
    </row>
    <row r="2995" spans="1:3">
      <c r="A2995" s="481"/>
      <c r="B2995" s="481"/>
      <c r="C2995" s="485"/>
    </row>
    <row r="2996" spans="1:3">
      <c r="A2996" s="481"/>
      <c r="B2996" s="481"/>
      <c r="C2996" s="485"/>
    </row>
    <row r="2997" spans="1:3">
      <c r="A2997" s="481"/>
      <c r="B2997" s="481"/>
      <c r="C2997" s="485"/>
    </row>
    <row r="2998" spans="1:3">
      <c r="A2998" s="481"/>
      <c r="B2998" s="481"/>
      <c r="C2998" s="485"/>
    </row>
    <row r="2999" spans="1:3">
      <c r="A2999" s="481"/>
      <c r="B2999" s="481"/>
      <c r="C2999" s="485"/>
    </row>
    <row r="3000" spans="1:3">
      <c r="A3000" s="481"/>
      <c r="B3000" s="481"/>
      <c r="C3000" s="485"/>
    </row>
    <row r="3001" spans="1:3">
      <c r="A3001" s="481"/>
      <c r="B3001" s="481"/>
      <c r="C3001" s="485"/>
    </row>
    <row r="3002" spans="1:3">
      <c r="A3002" s="481"/>
      <c r="B3002" s="481"/>
      <c r="C3002" s="485"/>
    </row>
    <row r="3003" spans="1:3">
      <c r="A3003" s="481"/>
      <c r="B3003" s="481"/>
      <c r="C3003" s="485"/>
    </row>
    <row r="3004" spans="1:3">
      <c r="A3004" s="481"/>
      <c r="B3004" s="481"/>
      <c r="C3004" s="485"/>
    </row>
    <row r="3005" spans="1:3">
      <c r="A3005" s="481"/>
      <c r="B3005" s="481"/>
      <c r="C3005" s="485"/>
    </row>
    <row r="3006" spans="1:3">
      <c r="A3006" s="481"/>
      <c r="B3006" s="481"/>
      <c r="C3006" s="485"/>
    </row>
    <row r="3007" spans="1:3">
      <c r="A3007" s="481"/>
      <c r="B3007" s="481"/>
      <c r="C3007" s="485"/>
    </row>
    <row r="3008" spans="1:3">
      <c r="A3008" s="481"/>
      <c r="B3008" s="481"/>
      <c r="C3008" s="485"/>
    </row>
    <row r="3009" spans="1:3">
      <c r="A3009" s="481"/>
      <c r="B3009" s="481"/>
      <c r="C3009" s="485"/>
    </row>
    <row r="3010" spans="1:3">
      <c r="A3010" s="481"/>
      <c r="B3010" s="481"/>
      <c r="C3010" s="485"/>
    </row>
    <row r="3011" spans="1:3">
      <c r="A3011" s="481"/>
      <c r="B3011" s="481"/>
      <c r="C3011" s="485"/>
    </row>
    <row r="3012" spans="1:3">
      <c r="A3012" s="481"/>
      <c r="B3012" s="481"/>
      <c r="C3012" s="485"/>
    </row>
    <row r="3013" spans="1:3">
      <c r="A3013" s="481"/>
      <c r="B3013" s="481"/>
      <c r="C3013" s="485"/>
    </row>
    <row r="3014" spans="1:3">
      <c r="A3014" s="481"/>
      <c r="B3014" s="481"/>
      <c r="C3014" s="485"/>
    </row>
    <row r="3015" spans="1:3">
      <c r="A3015" s="481"/>
      <c r="B3015" s="481"/>
      <c r="C3015" s="485"/>
    </row>
    <row r="3016" spans="1:3">
      <c r="A3016" s="481"/>
      <c r="B3016" s="481"/>
      <c r="C3016" s="485"/>
    </row>
    <row r="3017" spans="1:3">
      <c r="A3017" s="481"/>
      <c r="B3017" s="481"/>
      <c r="C3017" s="485"/>
    </row>
    <row r="3018" spans="1:3">
      <c r="A3018" s="481"/>
      <c r="B3018" s="481"/>
      <c r="C3018" s="485"/>
    </row>
    <row r="3019" spans="1:3">
      <c r="A3019" s="481"/>
      <c r="B3019" s="481"/>
      <c r="C3019" s="485"/>
    </row>
    <row r="3020" spans="1:3">
      <c r="A3020" s="481"/>
      <c r="B3020" s="481"/>
      <c r="C3020" s="485"/>
    </row>
    <row r="3021" spans="1:3">
      <c r="A3021" s="481"/>
      <c r="B3021" s="481"/>
      <c r="C3021" s="485"/>
    </row>
    <row r="3022" spans="1:3">
      <c r="A3022" s="481"/>
      <c r="B3022" s="481"/>
      <c r="C3022" s="485"/>
    </row>
    <row r="3023" spans="1:3">
      <c r="A3023" s="481"/>
      <c r="B3023" s="481"/>
      <c r="C3023" s="485"/>
    </row>
    <row r="3024" spans="1:3">
      <c r="A3024" s="481"/>
      <c r="B3024" s="481"/>
      <c r="C3024" s="485"/>
    </row>
    <row r="3025" spans="1:3">
      <c r="A3025" s="481"/>
      <c r="B3025" s="481"/>
      <c r="C3025" s="485"/>
    </row>
    <row r="3026" spans="1:3">
      <c r="A3026" s="481"/>
      <c r="B3026" s="481"/>
      <c r="C3026" s="485"/>
    </row>
    <row r="3027" spans="1:3">
      <c r="A3027" s="481"/>
      <c r="B3027" s="481"/>
      <c r="C3027" s="485"/>
    </row>
    <row r="3028" spans="1:3">
      <c r="A3028" s="481"/>
      <c r="B3028" s="481"/>
      <c r="C3028" s="485"/>
    </row>
    <row r="3029" spans="1:3">
      <c r="A3029" s="481"/>
      <c r="B3029" s="481"/>
      <c r="C3029" s="485"/>
    </row>
    <row r="3030" spans="1:3">
      <c r="A3030" s="481"/>
      <c r="B3030" s="481"/>
      <c r="C3030" s="485"/>
    </row>
    <row r="3031" spans="1:3">
      <c r="A3031" s="481"/>
      <c r="B3031" s="481"/>
      <c r="C3031" s="485"/>
    </row>
    <row r="3032" spans="1:3">
      <c r="A3032" s="481"/>
      <c r="B3032" s="481"/>
      <c r="C3032" s="485"/>
    </row>
    <row r="3033" spans="1:3">
      <c r="A3033" s="481"/>
      <c r="B3033" s="481"/>
      <c r="C3033" s="485"/>
    </row>
    <row r="3034" spans="1:3">
      <c r="A3034" s="481"/>
      <c r="B3034" s="481"/>
      <c r="C3034" s="485"/>
    </row>
    <row r="3035" spans="1:3">
      <c r="A3035" s="481"/>
      <c r="B3035" s="481"/>
      <c r="C3035" s="485"/>
    </row>
    <row r="3036" spans="1:3">
      <c r="A3036" s="481"/>
      <c r="B3036" s="481"/>
      <c r="C3036" s="485"/>
    </row>
    <row r="3037" spans="1:3">
      <c r="A3037" s="481"/>
      <c r="B3037" s="481"/>
      <c r="C3037" s="485"/>
    </row>
    <row r="3038" spans="1:3">
      <c r="A3038" s="481"/>
      <c r="B3038" s="481"/>
      <c r="C3038" s="485"/>
    </row>
    <row r="3039" spans="1:3">
      <c r="A3039" s="481"/>
      <c r="B3039" s="481"/>
      <c r="C3039" s="485"/>
    </row>
    <row r="3040" spans="1:3">
      <c r="A3040" s="481"/>
      <c r="B3040" s="481"/>
      <c r="C3040" s="485"/>
    </row>
    <row r="3041" spans="1:3">
      <c r="A3041" s="481"/>
      <c r="B3041" s="481"/>
      <c r="C3041" s="485"/>
    </row>
    <row r="3042" spans="1:3">
      <c r="A3042" s="481"/>
      <c r="B3042" s="481"/>
      <c r="C3042" s="485"/>
    </row>
    <row r="3043" spans="1:3">
      <c r="A3043" s="481"/>
      <c r="B3043" s="481"/>
      <c r="C3043" s="485"/>
    </row>
    <row r="3044" spans="1:3">
      <c r="A3044" s="481"/>
      <c r="B3044" s="481"/>
      <c r="C3044" s="485"/>
    </row>
    <row r="3045" spans="1:3">
      <c r="A3045" s="481"/>
      <c r="B3045" s="481"/>
      <c r="C3045" s="485"/>
    </row>
    <row r="3046" spans="1:3">
      <c r="A3046" s="481"/>
      <c r="B3046" s="481"/>
      <c r="C3046" s="485"/>
    </row>
    <row r="3047" spans="1:3">
      <c r="A3047" s="481"/>
      <c r="B3047" s="481"/>
      <c r="C3047" s="485"/>
    </row>
    <row r="3048" spans="1:3">
      <c r="A3048" s="481"/>
      <c r="B3048" s="481"/>
      <c r="C3048" s="485"/>
    </row>
    <row r="3049" spans="1:3">
      <c r="A3049" s="481"/>
      <c r="B3049" s="481"/>
      <c r="C3049" s="485"/>
    </row>
    <row r="3050" spans="1:3">
      <c r="A3050" s="481"/>
      <c r="B3050" s="481"/>
      <c r="C3050" s="485"/>
    </row>
    <row r="3051" spans="1:3">
      <c r="A3051" s="481"/>
      <c r="B3051" s="481"/>
      <c r="C3051" s="485"/>
    </row>
    <row r="3052" spans="1:3">
      <c r="A3052" s="481"/>
      <c r="B3052" s="481"/>
      <c r="C3052" s="485"/>
    </row>
    <row r="3053" spans="1:3">
      <c r="A3053" s="481"/>
      <c r="B3053" s="481"/>
      <c r="C3053" s="485"/>
    </row>
    <row r="3054" spans="1:3">
      <c r="A3054" s="481"/>
      <c r="B3054" s="481"/>
      <c r="C3054" s="485"/>
    </row>
    <row r="3055" spans="1:3">
      <c r="A3055" s="481"/>
      <c r="B3055" s="481"/>
      <c r="C3055" s="485"/>
    </row>
    <row r="3056" spans="1:3">
      <c r="A3056" s="481"/>
      <c r="B3056" s="481"/>
      <c r="C3056" s="485"/>
    </row>
    <row r="3057" spans="1:3">
      <c r="A3057" s="481"/>
      <c r="B3057" s="481"/>
      <c r="C3057" s="485"/>
    </row>
    <row r="3058" spans="1:3">
      <c r="A3058" s="481"/>
      <c r="B3058" s="481"/>
      <c r="C3058" s="485"/>
    </row>
    <row r="3059" spans="1:3">
      <c r="A3059" s="481"/>
      <c r="B3059" s="481"/>
      <c r="C3059" s="485"/>
    </row>
    <row r="3060" spans="1:3">
      <c r="A3060" s="481"/>
      <c r="B3060" s="481"/>
      <c r="C3060" s="485"/>
    </row>
    <row r="3061" spans="1:3">
      <c r="A3061" s="481"/>
      <c r="B3061" s="481"/>
      <c r="C3061" s="485"/>
    </row>
    <row r="3062" spans="1:3">
      <c r="A3062" s="481"/>
      <c r="B3062" s="481"/>
      <c r="C3062" s="485"/>
    </row>
    <row r="3063" spans="1:3">
      <c r="A3063" s="481"/>
      <c r="B3063" s="481"/>
      <c r="C3063" s="485"/>
    </row>
    <row r="3064" spans="1:3">
      <c r="A3064" s="481"/>
      <c r="B3064" s="481"/>
      <c r="C3064" s="485"/>
    </row>
    <row r="3065" spans="1:3">
      <c r="A3065" s="481"/>
      <c r="B3065" s="481"/>
      <c r="C3065" s="485"/>
    </row>
    <row r="3066" spans="1:3">
      <c r="A3066" s="481"/>
      <c r="B3066" s="481"/>
      <c r="C3066" s="485"/>
    </row>
    <row r="3067" spans="1:3">
      <c r="A3067" s="481"/>
      <c r="B3067" s="481"/>
      <c r="C3067" s="485"/>
    </row>
    <row r="3068" spans="1:3">
      <c r="A3068" s="481"/>
      <c r="B3068" s="481"/>
      <c r="C3068" s="485"/>
    </row>
    <row r="3069" spans="1:3">
      <c r="A3069" s="481"/>
      <c r="B3069" s="481"/>
      <c r="C3069" s="485"/>
    </row>
    <row r="3070" spans="1:3">
      <c r="A3070" s="481"/>
      <c r="B3070" s="481"/>
      <c r="C3070" s="485"/>
    </row>
    <row r="3071" spans="1:3">
      <c r="A3071" s="481"/>
      <c r="B3071" s="481"/>
      <c r="C3071" s="485"/>
    </row>
    <row r="3072" spans="1:3">
      <c r="A3072" s="481"/>
      <c r="B3072" s="481"/>
      <c r="C3072" s="485"/>
    </row>
    <row r="3073" spans="1:3">
      <c r="A3073" s="481"/>
      <c r="B3073" s="481"/>
      <c r="C3073" s="485"/>
    </row>
    <row r="3074" spans="1:3">
      <c r="A3074" s="481"/>
      <c r="B3074" s="481"/>
      <c r="C3074" s="485"/>
    </row>
    <row r="3075" spans="1:3">
      <c r="A3075" s="481"/>
      <c r="B3075" s="481"/>
      <c r="C3075" s="485"/>
    </row>
    <row r="3076" spans="1:3">
      <c r="A3076" s="481"/>
      <c r="B3076" s="481"/>
      <c r="C3076" s="485"/>
    </row>
    <row r="3077" spans="1:3">
      <c r="A3077" s="481"/>
      <c r="B3077" s="481"/>
      <c r="C3077" s="485"/>
    </row>
    <row r="3078" spans="1:3">
      <c r="A3078" s="481"/>
      <c r="B3078" s="481"/>
      <c r="C3078" s="485"/>
    </row>
    <row r="3079" spans="1:3">
      <c r="A3079" s="481"/>
      <c r="B3079" s="481"/>
      <c r="C3079" s="485"/>
    </row>
    <row r="3080" spans="1:3">
      <c r="A3080" s="481"/>
      <c r="B3080" s="481"/>
      <c r="C3080" s="485"/>
    </row>
    <row r="3081" spans="1:3">
      <c r="A3081" s="481"/>
      <c r="B3081" s="481"/>
      <c r="C3081" s="485"/>
    </row>
    <row r="3082" spans="1:3">
      <c r="A3082" s="481"/>
      <c r="B3082" s="481"/>
      <c r="C3082" s="485"/>
    </row>
    <row r="3083" spans="1:3">
      <c r="A3083" s="481"/>
      <c r="B3083" s="481"/>
      <c r="C3083" s="485"/>
    </row>
    <row r="3084" spans="1:3">
      <c r="A3084" s="481"/>
      <c r="B3084" s="481"/>
      <c r="C3084" s="485"/>
    </row>
    <row r="3085" spans="1:3">
      <c r="A3085" s="481"/>
      <c r="B3085" s="481"/>
      <c r="C3085" s="485"/>
    </row>
    <row r="3086" spans="1:3">
      <c r="A3086" s="481"/>
      <c r="B3086" s="481"/>
      <c r="C3086" s="485"/>
    </row>
    <row r="3087" spans="1:3">
      <c r="A3087" s="481"/>
      <c r="B3087" s="481"/>
      <c r="C3087" s="485"/>
    </row>
    <row r="3088" spans="1:3">
      <c r="A3088" s="481"/>
      <c r="B3088" s="481"/>
      <c r="C3088" s="485"/>
    </row>
    <row r="3089" spans="1:3">
      <c r="A3089" s="481"/>
      <c r="B3089" s="481"/>
      <c r="C3089" s="485"/>
    </row>
    <row r="3090" spans="1:3">
      <c r="A3090" s="481"/>
      <c r="B3090" s="481"/>
      <c r="C3090" s="485"/>
    </row>
    <row r="3091" spans="1:3">
      <c r="A3091" s="481"/>
      <c r="B3091" s="481"/>
      <c r="C3091" s="485"/>
    </row>
    <row r="3092" spans="1:3">
      <c r="A3092" s="481"/>
      <c r="B3092" s="481"/>
      <c r="C3092" s="485"/>
    </row>
    <row r="3093" spans="1:3">
      <c r="A3093" s="481"/>
      <c r="B3093" s="481"/>
      <c r="C3093" s="485"/>
    </row>
    <row r="3094" spans="1:3">
      <c r="A3094" s="481"/>
      <c r="B3094" s="481"/>
      <c r="C3094" s="485"/>
    </row>
    <row r="3095" spans="1:3">
      <c r="A3095" s="481"/>
      <c r="B3095" s="481"/>
      <c r="C3095" s="485"/>
    </row>
    <row r="3096" spans="1:3">
      <c r="A3096" s="481"/>
      <c r="B3096" s="481"/>
      <c r="C3096" s="485"/>
    </row>
    <row r="3097" spans="1:3">
      <c r="A3097" s="481"/>
      <c r="B3097" s="481"/>
      <c r="C3097" s="485"/>
    </row>
    <row r="3098" spans="1:3">
      <c r="A3098" s="481"/>
      <c r="B3098" s="481"/>
      <c r="C3098" s="485"/>
    </row>
    <row r="3099" spans="1:3">
      <c r="A3099" s="481"/>
      <c r="B3099" s="481"/>
      <c r="C3099" s="485"/>
    </row>
    <row r="3100" spans="1:3">
      <c r="A3100" s="481"/>
      <c r="B3100" s="481"/>
      <c r="C3100" s="485"/>
    </row>
    <row r="3101" spans="1:3">
      <c r="A3101" s="481"/>
      <c r="B3101" s="481"/>
      <c r="C3101" s="485"/>
    </row>
    <row r="3102" spans="1:3">
      <c r="A3102" s="481"/>
      <c r="B3102" s="481"/>
      <c r="C3102" s="485"/>
    </row>
    <row r="3103" spans="1:3">
      <c r="A3103" s="481"/>
      <c r="B3103" s="481"/>
      <c r="C3103" s="485"/>
    </row>
    <row r="3104" spans="1:3">
      <c r="A3104" s="481"/>
      <c r="B3104" s="481"/>
      <c r="C3104" s="485"/>
    </row>
    <row r="3105" spans="1:3">
      <c r="A3105" s="481"/>
      <c r="B3105" s="481"/>
      <c r="C3105" s="485"/>
    </row>
    <row r="3106" spans="1:3">
      <c r="A3106" s="481"/>
      <c r="B3106" s="481"/>
      <c r="C3106" s="485"/>
    </row>
    <row r="3107" spans="1:3">
      <c r="A3107" s="481"/>
      <c r="B3107" s="481"/>
      <c r="C3107" s="485"/>
    </row>
    <row r="3108" spans="1:3">
      <c r="A3108" s="481"/>
      <c r="B3108" s="481"/>
      <c r="C3108" s="485"/>
    </row>
    <row r="3109" spans="1:3">
      <c r="A3109" s="481"/>
      <c r="B3109" s="481"/>
      <c r="C3109" s="485"/>
    </row>
    <row r="3110" spans="1:3">
      <c r="A3110" s="481"/>
      <c r="B3110" s="481"/>
      <c r="C3110" s="485"/>
    </row>
    <row r="3111" spans="1:3">
      <c r="A3111" s="481"/>
      <c r="B3111" s="481"/>
      <c r="C3111" s="485"/>
    </row>
    <row r="3112" spans="1:3">
      <c r="A3112" s="481"/>
      <c r="B3112" s="481"/>
      <c r="C3112" s="485"/>
    </row>
    <row r="3113" spans="1:3">
      <c r="A3113" s="481"/>
      <c r="B3113" s="481"/>
      <c r="C3113" s="485"/>
    </row>
    <row r="3114" spans="1:3">
      <c r="A3114" s="481"/>
      <c r="B3114" s="481"/>
      <c r="C3114" s="485"/>
    </row>
    <row r="3115" spans="1:3">
      <c r="A3115" s="481"/>
      <c r="B3115" s="481"/>
      <c r="C3115" s="485"/>
    </row>
    <row r="3116" spans="1:3">
      <c r="A3116" s="481"/>
      <c r="B3116" s="481"/>
      <c r="C3116" s="485"/>
    </row>
    <row r="3117" spans="1:3">
      <c r="A3117" s="481"/>
      <c r="B3117" s="481"/>
      <c r="C3117" s="485"/>
    </row>
    <row r="3118" spans="1:3">
      <c r="A3118" s="481"/>
      <c r="B3118" s="481"/>
      <c r="C3118" s="485"/>
    </row>
    <row r="3119" spans="1:3">
      <c r="A3119" s="481"/>
      <c r="B3119" s="481"/>
      <c r="C3119" s="485"/>
    </row>
    <row r="3120" spans="1:3">
      <c r="A3120" s="481"/>
      <c r="B3120" s="481"/>
      <c r="C3120" s="485"/>
    </row>
    <row r="3121" spans="1:3">
      <c r="A3121" s="481"/>
      <c r="B3121" s="481"/>
      <c r="C3121" s="485"/>
    </row>
    <row r="3122" spans="1:3">
      <c r="A3122" s="481"/>
      <c r="B3122" s="481"/>
      <c r="C3122" s="485"/>
    </row>
    <row r="3123" spans="1:3">
      <c r="A3123" s="481"/>
      <c r="B3123" s="481"/>
      <c r="C3123" s="485"/>
    </row>
    <row r="3124" spans="1:3">
      <c r="A3124" s="481"/>
      <c r="B3124" s="481"/>
      <c r="C3124" s="485"/>
    </row>
    <row r="3125" spans="1:3">
      <c r="A3125" s="481"/>
      <c r="B3125" s="481"/>
      <c r="C3125" s="485"/>
    </row>
    <row r="3126" spans="1:3">
      <c r="A3126" s="481"/>
      <c r="B3126" s="481"/>
      <c r="C3126" s="485"/>
    </row>
    <row r="3127" spans="1:3">
      <c r="A3127" s="481"/>
      <c r="B3127" s="481"/>
      <c r="C3127" s="485"/>
    </row>
    <row r="3128" spans="1:3">
      <c r="A3128" s="481"/>
      <c r="B3128" s="481"/>
      <c r="C3128" s="485"/>
    </row>
    <row r="3129" spans="1:3">
      <c r="A3129" s="481"/>
      <c r="B3129" s="481"/>
      <c r="C3129" s="485"/>
    </row>
    <row r="3130" spans="1:3">
      <c r="A3130" s="481"/>
      <c r="B3130" s="481"/>
      <c r="C3130" s="485"/>
    </row>
    <row r="3131" spans="1:3">
      <c r="A3131" s="481"/>
      <c r="B3131" s="481"/>
      <c r="C3131" s="485"/>
    </row>
    <row r="3132" spans="1:3">
      <c r="A3132" s="481"/>
      <c r="B3132" s="481"/>
      <c r="C3132" s="485"/>
    </row>
    <row r="3133" spans="1:3">
      <c r="A3133" s="481"/>
      <c r="B3133" s="481"/>
      <c r="C3133" s="485"/>
    </row>
    <row r="3134" spans="1:3">
      <c r="A3134" s="481"/>
      <c r="B3134" s="481"/>
      <c r="C3134" s="485"/>
    </row>
    <row r="3135" spans="1:3">
      <c r="A3135" s="481"/>
      <c r="B3135" s="481"/>
      <c r="C3135" s="485"/>
    </row>
    <row r="3136" spans="1:3">
      <c r="A3136" s="481"/>
      <c r="B3136" s="481"/>
      <c r="C3136" s="485"/>
    </row>
    <row r="3137" spans="1:3">
      <c r="A3137" s="481"/>
      <c r="B3137" s="481"/>
      <c r="C3137" s="485"/>
    </row>
    <row r="3138" spans="1:3">
      <c r="A3138" s="481"/>
      <c r="B3138" s="481"/>
      <c r="C3138" s="485"/>
    </row>
    <row r="3139" spans="1:3">
      <c r="A3139" s="481"/>
      <c r="B3139" s="481"/>
      <c r="C3139" s="485"/>
    </row>
    <row r="3140" spans="1:3">
      <c r="A3140" s="481"/>
      <c r="B3140" s="481"/>
      <c r="C3140" s="485"/>
    </row>
    <row r="3141" spans="1:3">
      <c r="A3141" s="481"/>
      <c r="B3141" s="481"/>
      <c r="C3141" s="485"/>
    </row>
    <row r="3142" spans="1:3">
      <c r="A3142" s="481"/>
      <c r="B3142" s="481"/>
      <c r="C3142" s="485"/>
    </row>
    <row r="3143" spans="1:3">
      <c r="A3143" s="481"/>
      <c r="B3143" s="481"/>
      <c r="C3143" s="485"/>
    </row>
    <row r="3144" spans="1:3">
      <c r="A3144" s="481"/>
      <c r="B3144" s="481"/>
      <c r="C3144" s="485"/>
    </row>
    <row r="3145" spans="1:3">
      <c r="A3145" s="481"/>
      <c r="B3145" s="481"/>
      <c r="C3145" s="485"/>
    </row>
    <row r="3146" spans="1:3">
      <c r="A3146" s="481"/>
      <c r="B3146" s="481"/>
      <c r="C3146" s="485"/>
    </row>
    <row r="3147" spans="1:3">
      <c r="A3147" s="481"/>
      <c r="B3147" s="481"/>
      <c r="C3147" s="485"/>
    </row>
    <row r="3148" spans="1:3">
      <c r="A3148" s="481"/>
      <c r="B3148" s="481"/>
      <c r="C3148" s="485"/>
    </row>
    <row r="3149" spans="1:3">
      <c r="A3149" s="481"/>
      <c r="B3149" s="481"/>
      <c r="C3149" s="485"/>
    </row>
    <row r="3150" spans="1:3">
      <c r="A3150" s="481"/>
      <c r="B3150" s="481"/>
      <c r="C3150" s="485"/>
    </row>
    <row r="3151" spans="1:3">
      <c r="A3151" s="481"/>
      <c r="B3151" s="481"/>
      <c r="C3151" s="485"/>
    </row>
    <row r="3152" spans="1:3">
      <c r="A3152" s="481"/>
      <c r="B3152" s="481"/>
      <c r="C3152" s="485"/>
    </row>
    <row r="3153" spans="1:3">
      <c r="A3153" s="481"/>
      <c r="B3153" s="481"/>
      <c r="C3153" s="485"/>
    </row>
    <row r="3154" spans="1:3">
      <c r="A3154" s="481"/>
      <c r="B3154" s="481"/>
      <c r="C3154" s="485"/>
    </row>
    <row r="3155" spans="1:3">
      <c r="A3155" s="481"/>
      <c r="B3155" s="481"/>
      <c r="C3155" s="485"/>
    </row>
    <row r="3156" spans="1:3">
      <c r="A3156" s="481"/>
      <c r="B3156" s="481"/>
      <c r="C3156" s="485"/>
    </row>
    <row r="3157" spans="1:3">
      <c r="A3157" s="481"/>
      <c r="B3157" s="481"/>
      <c r="C3157" s="485"/>
    </row>
    <row r="3158" spans="1:3">
      <c r="A3158" s="481"/>
      <c r="B3158" s="481"/>
      <c r="C3158" s="485"/>
    </row>
    <row r="3159" spans="1:3">
      <c r="A3159" s="481"/>
      <c r="B3159" s="481"/>
      <c r="C3159" s="485"/>
    </row>
    <row r="3160" spans="1:3">
      <c r="A3160" s="481"/>
      <c r="B3160" s="481"/>
      <c r="C3160" s="485"/>
    </row>
    <row r="3161" spans="1:3">
      <c r="A3161" s="481"/>
      <c r="B3161" s="481"/>
      <c r="C3161" s="485"/>
    </row>
    <row r="3162" spans="1:3">
      <c r="A3162" s="481"/>
      <c r="B3162" s="481"/>
      <c r="C3162" s="485"/>
    </row>
    <row r="3163" spans="1:3">
      <c r="A3163" s="481"/>
      <c r="B3163" s="481"/>
      <c r="C3163" s="485"/>
    </row>
    <row r="3164" spans="1:3">
      <c r="A3164" s="481"/>
      <c r="B3164" s="481"/>
      <c r="C3164" s="485"/>
    </row>
    <row r="3165" spans="1:3">
      <c r="A3165" s="481"/>
      <c r="B3165" s="481"/>
      <c r="C3165" s="485"/>
    </row>
    <row r="3166" spans="1:3">
      <c r="A3166" s="481"/>
      <c r="B3166" s="481"/>
      <c r="C3166" s="485"/>
    </row>
    <row r="3167" spans="1:3">
      <c r="A3167" s="481"/>
      <c r="B3167" s="481"/>
      <c r="C3167" s="485"/>
    </row>
    <row r="3168" spans="1:3">
      <c r="A3168" s="481"/>
      <c r="B3168" s="481"/>
      <c r="C3168" s="485"/>
    </row>
    <row r="3169" spans="1:3">
      <c r="A3169" s="481"/>
      <c r="B3169" s="481"/>
      <c r="C3169" s="485"/>
    </row>
    <row r="3170" spans="1:3">
      <c r="A3170" s="481"/>
      <c r="B3170" s="481"/>
      <c r="C3170" s="485"/>
    </row>
    <row r="3171" spans="1:3">
      <c r="A3171" s="481"/>
      <c r="B3171" s="481"/>
      <c r="C3171" s="485"/>
    </row>
    <row r="3172" spans="1:3">
      <c r="A3172" s="481"/>
      <c r="B3172" s="481"/>
      <c r="C3172" s="485"/>
    </row>
    <row r="3173" spans="1:3">
      <c r="A3173" s="481"/>
      <c r="B3173" s="481"/>
      <c r="C3173" s="485"/>
    </row>
    <row r="3174" spans="1:3">
      <c r="A3174" s="481"/>
      <c r="B3174" s="481"/>
      <c r="C3174" s="485"/>
    </row>
    <row r="3175" spans="1:3">
      <c r="A3175" s="481"/>
      <c r="B3175" s="481"/>
      <c r="C3175" s="485"/>
    </row>
    <row r="3176" spans="1:3">
      <c r="A3176" s="481"/>
      <c r="B3176" s="481"/>
      <c r="C3176" s="485"/>
    </row>
    <row r="3177" spans="1:3">
      <c r="A3177" s="481"/>
      <c r="B3177" s="481"/>
      <c r="C3177" s="485"/>
    </row>
    <row r="3178" spans="1:3">
      <c r="A3178" s="481"/>
      <c r="B3178" s="481"/>
      <c r="C3178" s="485"/>
    </row>
    <row r="3179" spans="1:3">
      <c r="A3179" s="481"/>
      <c r="B3179" s="481"/>
      <c r="C3179" s="485"/>
    </row>
    <row r="3180" spans="1:3">
      <c r="A3180" s="481"/>
      <c r="B3180" s="481"/>
      <c r="C3180" s="485"/>
    </row>
    <row r="3181" spans="1:3">
      <c r="A3181" s="481"/>
      <c r="B3181" s="481"/>
      <c r="C3181" s="485"/>
    </row>
    <row r="3182" spans="1:3">
      <c r="A3182" s="481"/>
      <c r="B3182" s="481"/>
      <c r="C3182" s="485"/>
    </row>
    <row r="3183" spans="1:3">
      <c r="A3183" s="481"/>
      <c r="B3183" s="481"/>
      <c r="C3183" s="485"/>
    </row>
    <row r="3184" spans="1:3">
      <c r="A3184" s="481"/>
      <c r="B3184" s="481"/>
      <c r="C3184" s="485"/>
    </row>
    <row r="3185" spans="1:3">
      <c r="A3185" s="481"/>
      <c r="B3185" s="481"/>
      <c r="C3185" s="485"/>
    </row>
    <row r="3186" spans="1:3">
      <c r="A3186" s="481"/>
      <c r="B3186" s="481"/>
      <c r="C3186" s="485"/>
    </row>
    <row r="3187" spans="1:3">
      <c r="A3187" s="481"/>
      <c r="B3187" s="481"/>
      <c r="C3187" s="485"/>
    </row>
    <row r="3188" spans="1:3">
      <c r="A3188" s="481"/>
      <c r="B3188" s="481"/>
      <c r="C3188" s="485"/>
    </row>
    <row r="3189" spans="1:3">
      <c r="A3189" s="481"/>
      <c r="B3189" s="481"/>
      <c r="C3189" s="485"/>
    </row>
    <row r="3190" spans="1:3">
      <c r="A3190" s="481"/>
      <c r="B3190" s="481"/>
      <c r="C3190" s="485"/>
    </row>
    <row r="3191" spans="1:3">
      <c r="A3191" s="481"/>
      <c r="B3191" s="481"/>
      <c r="C3191" s="485"/>
    </row>
    <row r="3192" spans="1:3">
      <c r="A3192" s="481"/>
      <c r="B3192" s="481"/>
      <c r="C3192" s="485"/>
    </row>
    <row r="3193" spans="1:3">
      <c r="A3193" s="481"/>
      <c r="B3193" s="481"/>
      <c r="C3193" s="485"/>
    </row>
    <row r="3194" spans="1:3">
      <c r="A3194" s="481"/>
      <c r="B3194" s="481"/>
      <c r="C3194" s="485"/>
    </row>
    <row r="3195" spans="1:3">
      <c r="A3195" s="481"/>
      <c r="B3195" s="481"/>
      <c r="C3195" s="485"/>
    </row>
    <row r="3196" spans="1:3">
      <c r="A3196" s="481"/>
      <c r="B3196" s="481"/>
      <c r="C3196" s="485"/>
    </row>
    <row r="3197" spans="1:3">
      <c r="A3197" s="481"/>
      <c r="B3197" s="481"/>
      <c r="C3197" s="485"/>
    </row>
    <row r="3198" spans="1:3">
      <c r="A3198" s="481"/>
      <c r="B3198" s="481"/>
      <c r="C3198" s="485"/>
    </row>
    <row r="3199" spans="1:3">
      <c r="A3199" s="481"/>
      <c r="B3199" s="481"/>
      <c r="C3199" s="485"/>
    </row>
    <row r="3200" spans="1:3">
      <c r="A3200" s="481"/>
      <c r="B3200" s="481"/>
      <c r="C3200" s="485"/>
    </row>
    <row r="3201" spans="1:3">
      <c r="A3201" s="481"/>
      <c r="B3201" s="481"/>
      <c r="C3201" s="485"/>
    </row>
    <row r="3202" spans="1:3">
      <c r="A3202" s="481"/>
      <c r="B3202" s="481"/>
      <c r="C3202" s="485"/>
    </row>
    <row r="3203" spans="1:3">
      <c r="A3203" s="481"/>
      <c r="B3203" s="481"/>
      <c r="C3203" s="485"/>
    </row>
    <row r="3204" spans="1:3">
      <c r="A3204" s="481"/>
      <c r="B3204" s="481"/>
      <c r="C3204" s="485"/>
    </row>
    <row r="3205" spans="1:3">
      <c r="A3205" s="481"/>
      <c r="B3205" s="481"/>
      <c r="C3205" s="485"/>
    </row>
    <row r="3206" spans="1:3">
      <c r="A3206" s="481"/>
      <c r="B3206" s="481"/>
      <c r="C3206" s="485"/>
    </row>
    <row r="3207" spans="1:3">
      <c r="A3207" s="481"/>
      <c r="B3207" s="481"/>
      <c r="C3207" s="485"/>
    </row>
    <row r="3208" spans="1:3">
      <c r="A3208" s="481"/>
      <c r="B3208" s="481"/>
      <c r="C3208" s="485"/>
    </row>
    <row r="3209" spans="1:3">
      <c r="A3209" s="481"/>
      <c r="B3209" s="481"/>
      <c r="C3209" s="485"/>
    </row>
    <row r="3210" spans="1:3">
      <c r="A3210" s="481"/>
      <c r="B3210" s="481"/>
      <c r="C3210" s="485"/>
    </row>
    <row r="3211" spans="1:3">
      <c r="A3211" s="481"/>
      <c r="B3211" s="481"/>
      <c r="C3211" s="485"/>
    </row>
    <row r="3212" spans="1:3">
      <c r="A3212" s="481"/>
      <c r="B3212" s="481"/>
      <c r="C3212" s="485"/>
    </row>
    <row r="3213" spans="1:3">
      <c r="A3213" s="481"/>
      <c r="B3213" s="481"/>
      <c r="C3213" s="485"/>
    </row>
    <row r="3214" spans="1:3">
      <c r="A3214" s="481"/>
      <c r="B3214" s="481"/>
      <c r="C3214" s="485"/>
    </row>
    <row r="3215" spans="1:3">
      <c r="A3215" s="481"/>
      <c r="B3215" s="481"/>
      <c r="C3215" s="485"/>
    </row>
    <row r="3216" spans="1:3">
      <c r="A3216" s="481"/>
      <c r="B3216" s="481"/>
      <c r="C3216" s="485"/>
    </row>
    <row r="3217" spans="1:3">
      <c r="A3217" s="481"/>
      <c r="B3217" s="481"/>
      <c r="C3217" s="485"/>
    </row>
    <row r="3218" spans="1:3">
      <c r="A3218" s="481"/>
      <c r="B3218" s="481"/>
      <c r="C3218" s="485"/>
    </row>
    <row r="3219" spans="1:3">
      <c r="A3219" s="481"/>
      <c r="B3219" s="481"/>
      <c r="C3219" s="485"/>
    </row>
    <row r="3220" spans="1:3">
      <c r="A3220" s="481"/>
      <c r="B3220" s="481"/>
      <c r="C3220" s="485"/>
    </row>
    <row r="3221" spans="1:3">
      <c r="A3221" s="481"/>
      <c r="B3221" s="481"/>
      <c r="C3221" s="485"/>
    </row>
    <row r="3222" spans="1:3">
      <c r="A3222" s="481"/>
      <c r="B3222" s="481"/>
      <c r="C3222" s="485"/>
    </row>
    <row r="3223" spans="1:3">
      <c r="A3223" s="481"/>
      <c r="B3223" s="481"/>
      <c r="C3223" s="485"/>
    </row>
    <row r="3224" spans="1:3">
      <c r="A3224" s="481"/>
      <c r="B3224" s="481"/>
      <c r="C3224" s="485"/>
    </row>
    <row r="3225" spans="1:3">
      <c r="A3225" s="481"/>
      <c r="B3225" s="481"/>
      <c r="C3225" s="485"/>
    </row>
    <row r="3226" spans="1:3">
      <c r="A3226" s="481"/>
      <c r="B3226" s="481"/>
      <c r="C3226" s="485"/>
    </row>
    <row r="3227" spans="1:3">
      <c r="A3227" s="481"/>
      <c r="B3227" s="481"/>
      <c r="C3227" s="485"/>
    </row>
    <row r="3228" spans="1:3">
      <c r="A3228" s="481"/>
      <c r="B3228" s="481"/>
      <c r="C3228" s="485"/>
    </row>
    <row r="3229" spans="1:3">
      <c r="A3229" s="481"/>
      <c r="B3229" s="481"/>
      <c r="C3229" s="485"/>
    </row>
    <row r="3230" spans="1:3">
      <c r="A3230" s="481"/>
      <c r="B3230" s="481"/>
      <c r="C3230" s="485"/>
    </row>
    <row r="3231" spans="1:3">
      <c r="A3231" s="481"/>
      <c r="B3231" s="481"/>
      <c r="C3231" s="485"/>
    </row>
    <row r="3232" spans="1:3">
      <c r="A3232" s="481"/>
      <c r="B3232" s="481"/>
      <c r="C3232" s="485"/>
    </row>
    <row r="3233" spans="1:3">
      <c r="A3233" s="481"/>
      <c r="B3233" s="481"/>
      <c r="C3233" s="485"/>
    </row>
    <row r="3234" spans="1:3">
      <c r="A3234" s="481"/>
      <c r="B3234" s="481"/>
      <c r="C3234" s="485"/>
    </row>
    <row r="3235" spans="1:3">
      <c r="A3235" s="481"/>
      <c r="B3235" s="481"/>
      <c r="C3235" s="485"/>
    </row>
    <row r="3236" spans="1:3">
      <c r="A3236" s="481"/>
      <c r="B3236" s="481"/>
      <c r="C3236" s="485"/>
    </row>
    <row r="3237" spans="1:3">
      <c r="A3237" s="481"/>
      <c r="B3237" s="481"/>
      <c r="C3237" s="485"/>
    </row>
    <row r="3238" spans="1:3">
      <c r="A3238" s="481"/>
      <c r="B3238" s="481"/>
      <c r="C3238" s="485"/>
    </row>
    <row r="3239" spans="1:3">
      <c r="A3239" s="481"/>
      <c r="B3239" s="481"/>
      <c r="C3239" s="485"/>
    </row>
    <row r="3240" spans="1:3">
      <c r="A3240" s="481"/>
      <c r="B3240" s="481"/>
      <c r="C3240" s="485"/>
    </row>
    <row r="3241" spans="1:3">
      <c r="A3241" s="481"/>
      <c r="B3241" s="481"/>
      <c r="C3241" s="485"/>
    </row>
    <row r="3242" spans="1:3">
      <c r="A3242" s="481"/>
      <c r="B3242" s="481"/>
      <c r="C3242" s="485"/>
    </row>
    <row r="3243" spans="1:3">
      <c r="A3243" s="481"/>
      <c r="B3243" s="481"/>
      <c r="C3243" s="485"/>
    </row>
    <row r="3244" spans="1:3">
      <c r="A3244" s="481"/>
      <c r="B3244" s="481"/>
      <c r="C3244" s="485"/>
    </row>
    <row r="3245" spans="1:3">
      <c r="A3245" s="481"/>
      <c r="B3245" s="481"/>
      <c r="C3245" s="485"/>
    </row>
    <row r="3246" spans="1:3">
      <c r="A3246" s="481"/>
      <c r="B3246" s="481"/>
      <c r="C3246" s="485"/>
    </row>
    <row r="3247" spans="1:3">
      <c r="A3247" s="481"/>
      <c r="B3247" s="481"/>
      <c r="C3247" s="485"/>
    </row>
    <row r="3248" spans="1:3">
      <c r="A3248" s="481"/>
      <c r="B3248" s="481"/>
      <c r="C3248" s="485"/>
    </row>
    <row r="3249" spans="1:3">
      <c r="A3249" s="481"/>
      <c r="B3249" s="481"/>
      <c r="C3249" s="485"/>
    </row>
    <row r="3250" spans="1:3">
      <c r="A3250" s="481"/>
      <c r="B3250" s="481"/>
      <c r="C3250" s="485"/>
    </row>
    <row r="3251" spans="1:3">
      <c r="A3251" s="481"/>
      <c r="B3251" s="481"/>
      <c r="C3251" s="485"/>
    </row>
    <row r="3252" spans="1:3">
      <c r="A3252" s="481"/>
      <c r="B3252" s="481"/>
      <c r="C3252" s="485"/>
    </row>
    <row r="3253" spans="1:3">
      <c r="A3253" s="481"/>
      <c r="B3253" s="481"/>
      <c r="C3253" s="485"/>
    </row>
    <row r="3254" spans="1:3">
      <c r="A3254" s="481"/>
      <c r="B3254" s="481"/>
      <c r="C3254" s="485"/>
    </row>
    <row r="3255" spans="1:3">
      <c r="A3255" s="481"/>
      <c r="B3255" s="481"/>
      <c r="C3255" s="485"/>
    </row>
    <row r="3256" spans="1:3">
      <c r="A3256" s="481"/>
      <c r="B3256" s="481"/>
      <c r="C3256" s="485"/>
    </row>
    <row r="3257" spans="1:3">
      <c r="A3257" s="481"/>
      <c r="B3257" s="481"/>
      <c r="C3257" s="485"/>
    </row>
    <row r="3258" spans="1:3">
      <c r="A3258" s="481"/>
      <c r="B3258" s="481"/>
      <c r="C3258" s="485"/>
    </row>
    <row r="3259" spans="1:3">
      <c r="A3259" s="481"/>
      <c r="B3259" s="481"/>
      <c r="C3259" s="485"/>
    </row>
    <row r="3260" spans="1:3">
      <c r="A3260" s="481"/>
      <c r="B3260" s="481"/>
      <c r="C3260" s="485"/>
    </row>
    <row r="3261" spans="1:3">
      <c r="A3261" s="481"/>
      <c r="B3261" s="481"/>
      <c r="C3261" s="485"/>
    </row>
    <row r="3262" spans="1:3">
      <c r="A3262" s="481"/>
      <c r="B3262" s="481"/>
      <c r="C3262" s="485"/>
    </row>
    <row r="3263" spans="1:3">
      <c r="A3263" s="481"/>
      <c r="B3263" s="481"/>
      <c r="C3263" s="485"/>
    </row>
    <row r="3264" spans="1:3">
      <c r="A3264" s="481"/>
      <c r="B3264" s="481"/>
      <c r="C3264" s="485"/>
    </row>
    <row r="3265" spans="1:3">
      <c r="A3265" s="481"/>
      <c r="B3265" s="481"/>
      <c r="C3265" s="485"/>
    </row>
    <row r="3266" spans="1:3">
      <c r="A3266" s="481"/>
      <c r="B3266" s="481"/>
      <c r="C3266" s="485"/>
    </row>
    <row r="3267" spans="1:3">
      <c r="A3267" s="481"/>
      <c r="B3267" s="481"/>
      <c r="C3267" s="485"/>
    </row>
  </sheetData>
  <mergeCells count="211">
    <mergeCell ref="D1:E1"/>
    <mergeCell ref="A2:E3"/>
    <mergeCell ref="A5:A6"/>
    <mergeCell ref="B5:B6"/>
    <mergeCell ref="C5:C6"/>
    <mergeCell ref="D5:D6"/>
    <mergeCell ref="E5:E6"/>
    <mergeCell ref="B25:B26"/>
    <mergeCell ref="B27:C27"/>
    <mergeCell ref="B28:B32"/>
    <mergeCell ref="D28:D30"/>
    <mergeCell ref="B34:C34"/>
    <mergeCell ref="B35:B38"/>
    <mergeCell ref="C35:C36"/>
    <mergeCell ref="C37:C38"/>
    <mergeCell ref="A9:A54"/>
    <mergeCell ref="B10:C10"/>
    <mergeCell ref="B12:C12"/>
    <mergeCell ref="B14:C14"/>
    <mergeCell ref="B16:C16"/>
    <mergeCell ref="B18:C18"/>
    <mergeCell ref="B19:B21"/>
    <mergeCell ref="C19:C21"/>
    <mergeCell ref="B22:C22"/>
    <mergeCell ref="B24:C24"/>
    <mergeCell ref="B48:C48"/>
    <mergeCell ref="B49:B50"/>
    <mergeCell ref="B52:C52"/>
    <mergeCell ref="B54:C54"/>
    <mergeCell ref="A56:A60"/>
    <mergeCell ref="B57:C57"/>
    <mergeCell ref="B58:B59"/>
    <mergeCell ref="B60:C60"/>
    <mergeCell ref="B39:C39"/>
    <mergeCell ref="B40:B41"/>
    <mergeCell ref="C40:C41"/>
    <mergeCell ref="B43:C43"/>
    <mergeCell ref="B45:C45"/>
    <mergeCell ref="B47:C47"/>
    <mergeCell ref="D76:D77"/>
    <mergeCell ref="B79:C79"/>
    <mergeCell ref="B80:B83"/>
    <mergeCell ref="C81:C82"/>
    <mergeCell ref="B85:C85"/>
    <mergeCell ref="B87:C87"/>
    <mergeCell ref="B89:C89"/>
    <mergeCell ref="A62:A65"/>
    <mergeCell ref="B63:C63"/>
    <mergeCell ref="B65:C65"/>
    <mergeCell ref="B66:C66"/>
    <mergeCell ref="A67:A71"/>
    <mergeCell ref="B68:C68"/>
    <mergeCell ref="B69:B70"/>
    <mergeCell ref="B71:C71"/>
    <mergeCell ref="B91:C91"/>
    <mergeCell ref="B93:C93"/>
    <mergeCell ref="B94:B96"/>
    <mergeCell ref="C94:C95"/>
    <mergeCell ref="B97:C97"/>
    <mergeCell ref="B98:B100"/>
    <mergeCell ref="A73:A106"/>
    <mergeCell ref="B74:C74"/>
    <mergeCell ref="B75:B78"/>
    <mergeCell ref="D114:D115"/>
    <mergeCell ref="D116:D117"/>
    <mergeCell ref="A119:A125"/>
    <mergeCell ref="B120:C120"/>
    <mergeCell ref="B121:B122"/>
    <mergeCell ref="B123:C123"/>
    <mergeCell ref="B124:B125"/>
    <mergeCell ref="D124:D125"/>
    <mergeCell ref="D98:D99"/>
    <mergeCell ref="B102:C102"/>
    <mergeCell ref="B103:B105"/>
    <mergeCell ref="B106:C106"/>
    <mergeCell ref="A108:A117"/>
    <mergeCell ref="B109:C109"/>
    <mergeCell ref="B110:B112"/>
    <mergeCell ref="D110:D111"/>
    <mergeCell ref="B113:C113"/>
    <mergeCell ref="B114:B117"/>
    <mergeCell ref="B139:B141"/>
    <mergeCell ref="C139:C140"/>
    <mergeCell ref="B142:C142"/>
    <mergeCell ref="B144:C144"/>
    <mergeCell ref="B146:C146"/>
    <mergeCell ref="B148:C148"/>
    <mergeCell ref="E124:E125"/>
    <mergeCell ref="A127:A151"/>
    <mergeCell ref="B128:C128"/>
    <mergeCell ref="B129:B130"/>
    <mergeCell ref="C129:C130"/>
    <mergeCell ref="B131:C131"/>
    <mergeCell ref="B133:C133"/>
    <mergeCell ref="B134:B135"/>
    <mergeCell ref="B136:C136"/>
    <mergeCell ref="B138:C138"/>
    <mergeCell ref="A160:A169"/>
    <mergeCell ref="B161:C161"/>
    <mergeCell ref="B162:B164"/>
    <mergeCell ref="B165:C165"/>
    <mergeCell ref="B167:C167"/>
    <mergeCell ref="B169:C169"/>
    <mergeCell ref="B150:C150"/>
    <mergeCell ref="B152:C152"/>
    <mergeCell ref="A153:A158"/>
    <mergeCell ref="B154:C154"/>
    <mergeCell ref="B156:C156"/>
    <mergeCell ref="B157:B158"/>
    <mergeCell ref="B186:C186"/>
    <mergeCell ref="A187:A193"/>
    <mergeCell ref="B188:C188"/>
    <mergeCell ref="B189:B191"/>
    <mergeCell ref="D190:D191"/>
    <mergeCell ref="B192:C192"/>
    <mergeCell ref="B193:B194"/>
    <mergeCell ref="A170:A186"/>
    <mergeCell ref="B171:C171"/>
    <mergeCell ref="B172:B175"/>
    <mergeCell ref="C172:C174"/>
    <mergeCell ref="B176:C176"/>
    <mergeCell ref="B178:C178"/>
    <mergeCell ref="B179:B180"/>
    <mergeCell ref="B181:C181"/>
    <mergeCell ref="B183:C183"/>
    <mergeCell ref="B184:B185"/>
    <mergeCell ref="A196:A199"/>
    <mergeCell ref="B197:C197"/>
    <mergeCell ref="B199:C199"/>
    <mergeCell ref="A201:A210"/>
    <mergeCell ref="B202:C202"/>
    <mergeCell ref="B203:B204"/>
    <mergeCell ref="B205:C205"/>
    <mergeCell ref="B207:C207"/>
    <mergeCell ref="B208:B209"/>
    <mergeCell ref="B210:C210"/>
    <mergeCell ref="B232:C232"/>
    <mergeCell ref="B233:B235"/>
    <mergeCell ref="D233:D234"/>
    <mergeCell ref="B237:C237"/>
    <mergeCell ref="B238:B239"/>
    <mergeCell ref="B240:C240"/>
    <mergeCell ref="A212:A246"/>
    <mergeCell ref="B213:C213"/>
    <mergeCell ref="B215:C215"/>
    <mergeCell ref="B217:C217"/>
    <mergeCell ref="B219:C219"/>
    <mergeCell ref="B221:C221"/>
    <mergeCell ref="B223:C223"/>
    <mergeCell ref="B225:C225"/>
    <mergeCell ref="B227:C227"/>
    <mergeCell ref="B229:C229"/>
    <mergeCell ref="B243:C243"/>
    <mergeCell ref="B245:C245"/>
    <mergeCell ref="A274:A277"/>
    <mergeCell ref="B275:C275"/>
    <mergeCell ref="B277:C277"/>
    <mergeCell ref="B280:C280"/>
    <mergeCell ref="B281:B282"/>
    <mergeCell ref="B262:B265"/>
    <mergeCell ref="D262:D263"/>
    <mergeCell ref="D264:D265"/>
    <mergeCell ref="B266:C266"/>
    <mergeCell ref="B268:C268"/>
    <mergeCell ref="B269:B271"/>
    <mergeCell ref="C269:C271"/>
    <mergeCell ref="A248:A272"/>
    <mergeCell ref="B249:C249"/>
    <mergeCell ref="B251:C251"/>
    <mergeCell ref="B253:C253"/>
    <mergeCell ref="B255:C255"/>
    <mergeCell ref="B257:C257"/>
    <mergeCell ref="B259:C259"/>
    <mergeCell ref="B261:C261"/>
    <mergeCell ref="B272:C272"/>
    <mergeCell ref="D301:D302"/>
    <mergeCell ref="B305:C305"/>
    <mergeCell ref="B306:B307"/>
    <mergeCell ref="D306:D307"/>
    <mergeCell ref="B283:C283"/>
    <mergeCell ref="A284:A292"/>
    <mergeCell ref="B285:C285"/>
    <mergeCell ref="B287:C287"/>
    <mergeCell ref="B289:C289"/>
    <mergeCell ref="B291:C291"/>
    <mergeCell ref="A309:A320"/>
    <mergeCell ref="B310:C310"/>
    <mergeCell ref="B312:C312"/>
    <mergeCell ref="B314:C314"/>
    <mergeCell ref="B316:C316"/>
    <mergeCell ref="B318:C318"/>
    <mergeCell ref="B320:C320"/>
    <mergeCell ref="B295:C295"/>
    <mergeCell ref="B297:C297"/>
    <mergeCell ref="A298:A307"/>
    <mergeCell ref="B299:C299"/>
    <mergeCell ref="B300:B304"/>
    <mergeCell ref="A364:D364"/>
    <mergeCell ref="A332:C332"/>
    <mergeCell ref="A333:C333"/>
    <mergeCell ref="A334:C334"/>
    <mergeCell ref="A335:C335"/>
    <mergeCell ref="A338:D338"/>
    <mergeCell ref="A354:D354"/>
    <mergeCell ref="A322:A326"/>
    <mergeCell ref="B323:C323"/>
    <mergeCell ref="B324:B325"/>
    <mergeCell ref="B326:C326"/>
    <mergeCell ref="A328:A331"/>
    <mergeCell ref="B329:C329"/>
    <mergeCell ref="B331:C331"/>
  </mergeCells>
  <printOptions horizontalCentered="1"/>
  <pageMargins left="0.70866141732283472" right="0.47244094488188981" top="0.74803149606299213" bottom="0.74803149606299213" header="0.31496062992125984" footer="0.31496062992125984"/>
  <pageSetup paperSize="9" scale="78" orientation="portrait" r:id="rId1"/>
  <headerFooter alignWithMargins="0">
    <oddFooter>Strona &amp;P z &amp;N</oddFooter>
  </headerFooter>
  <rowBreaks count="8" manualBreakCount="8">
    <brk id="32" max="4" man="1"/>
    <brk id="71" max="4" man="1"/>
    <brk id="106" max="4" man="1"/>
    <brk id="164" max="4" man="1"/>
    <brk id="199" max="4" man="1"/>
    <brk id="241" max="4" man="1"/>
    <brk id="277" max="4" man="1"/>
    <brk id="30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I23"/>
  <sheetViews>
    <sheetView view="pageBreakPreview" zoomScaleNormal="100" zoomScaleSheetLayoutView="100" workbookViewId="0">
      <selection activeCell="H1" sqref="H1:I1"/>
    </sheetView>
  </sheetViews>
  <sheetFormatPr defaultRowHeight="12.75"/>
  <cols>
    <col min="1" max="1" width="8.28515625" style="1" customWidth="1"/>
    <col min="2" max="2" width="10.5703125" style="1" customWidth="1"/>
    <col min="3" max="3" width="15.140625" style="1" customWidth="1"/>
    <col min="4" max="4" width="12.28515625" style="1" customWidth="1"/>
    <col min="5" max="6" width="12" style="1" customWidth="1"/>
    <col min="7" max="8" width="13.85546875" style="1" customWidth="1"/>
    <col min="9" max="9" width="51.5703125" style="1" customWidth="1"/>
    <col min="10" max="257" width="9.140625" style="1"/>
    <col min="258" max="258" width="8.28515625" style="1" customWidth="1"/>
    <col min="259" max="259" width="10.5703125" style="1" customWidth="1"/>
    <col min="260" max="260" width="15.140625" style="1" customWidth="1"/>
    <col min="261" max="262" width="12" style="1" customWidth="1"/>
    <col min="263" max="264" width="13.85546875" style="1" customWidth="1"/>
    <col min="265" max="265" width="51.5703125" style="1" customWidth="1"/>
    <col min="266" max="513" width="9.140625" style="1"/>
    <col min="514" max="514" width="8.28515625" style="1" customWidth="1"/>
    <col min="515" max="515" width="10.5703125" style="1" customWidth="1"/>
    <col min="516" max="516" width="15.140625" style="1" customWidth="1"/>
    <col min="517" max="518" width="12" style="1" customWidth="1"/>
    <col min="519" max="520" width="13.85546875" style="1" customWidth="1"/>
    <col min="521" max="521" width="51.5703125" style="1" customWidth="1"/>
    <col min="522" max="769" width="9.140625" style="1"/>
    <col min="770" max="770" width="8.28515625" style="1" customWidth="1"/>
    <col min="771" max="771" width="10.5703125" style="1" customWidth="1"/>
    <col min="772" max="772" width="15.140625" style="1" customWidth="1"/>
    <col min="773" max="774" width="12" style="1" customWidth="1"/>
    <col min="775" max="776" width="13.85546875" style="1" customWidth="1"/>
    <col min="777" max="777" width="51.5703125" style="1" customWidth="1"/>
    <col min="778" max="1025" width="9.140625" style="1"/>
    <col min="1026" max="1026" width="8.28515625" style="1" customWidth="1"/>
    <col min="1027" max="1027" width="10.5703125" style="1" customWidth="1"/>
    <col min="1028" max="1028" width="15.140625" style="1" customWidth="1"/>
    <col min="1029" max="1030" width="12" style="1" customWidth="1"/>
    <col min="1031" max="1032" width="13.85546875" style="1" customWidth="1"/>
    <col min="1033" max="1033" width="51.5703125" style="1" customWidth="1"/>
    <col min="1034" max="1281" width="9.140625" style="1"/>
    <col min="1282" max="1282" width="8.28515625" style="1" customWidth="1"/>
    <col min="1283" max="1283" width="10.5703125" style="1" customWidth="1"/>
    <col min="1284" max="1284" width="15.140625" style="1" customWidth="1"/>
    <col min="1285" max="1286" width="12" style="1" customWidth="1"/>
    <col min="1287" max="1288" width="13.85546875" style="1" customWidth="1"/>
    <col min="1289" max="1289" width="51.5703125" style="1" customWidth="1"/>
    <col min="1290" max="1537" width="9.140625" style="1"/>
    <col min="1538" max="1538" width="8.28515625" style="1" customWidth="1"/>
    <col min="1539" max="1539" width="10.5703125" style="1" customWidth="1"/>
    <col min="1540" max="1540" width="15.140625" style="1" customWidth="1"/>
    <col min="1541" max="1542" width="12" style="1" customWidth="1"/>
    <col min="1543" max="1544" width="13.85546875" style="1" customWidth="1"/>
    <col min="1545" max="1545" width="51.5703125" style="1" customWidth="1"/>
    <col min="1546" max="1793" width="9.140625" style="1"/>
    <col min="1794" max="1794" width="8.28515625" style="1" customWidth="1"/>
    <col min="1795" max="1795" width="10.5703125" style="1" customWidth="1"/>
    <col min="1796" max="1796" width="15.140625" style="1" customWidth="1"/>
    <col min="1797" max="1798" width="12" style="1" customWidth="1"/>
    <col min="1799" max="1800" width="13.85546875" style="1" customWidth="1"/>
    <col min="1801" max="1801" width="51.5703125" style="1" customWidth="1"/>
    <col min="1802" max="2049" width="9.140625" style="1"/>
    <col min="2050" max="2050" width="8.28515625" style="1" customWidth="1"/>
    <col min="2051" max="2051" width="10.5703125" style="1" customWidth="1"/>
    <col min="2052" max="2052" width="15.140625" style="1" customWidth="1"/>
    <col min="2053" max="2054" width="12" style="1" customWidth="1"/>
    <col min="2055" max="2056" width="13.85546875" style="1" customWidth="1"/>
    <col min="2057" max="2057" width="51.5703125" style="1" customWidth="1"/>
    <col min="2058" max="2305" width="9.140625" style="1"/>
    <col min="2306" max="2306" width="8.28515625" style="1" customWidth="1"/>
    <col min="2307" max="2307" width="10.5703125" style="1" customWidth="1"/>
    <col min="2308" max="2308" width="15.140625" style="1" customWidth="1"/>
    <col min="2309" max="2310" width="12" style="1" customWidth="1"/>
    <col min="2311" max="2312" width="13.85546875" style="1" customWidth="1"/>
    <col min="2313" max="2313" width="51.5703125" style="1" customWidth="1"/>
    <col min="2314" max="2561" width="9.140625" style="1"/>
    <col min="2562" max="2562" width="8.28515625" style="1" customWidth="1"/>
    <col min="2563" max="2563" width="10.5703125" style="1" customWidth="1"/>
    <col min="2564" max="2564" width="15.140625" style="1" customWidth="1"/>
    <col min="2565" max="2566" width="12" style="1" customWidth="1"/>
    <col min="2567" max="2568" width="13.85546875" style="1" customWidth="1"/>
    <col min="2569" max="2569" width="51.5703125" style="1" customWidth="1"/>
    <col min="2570" max="2817" width="9.140625" style="1"/>
    <col min="2818" max="2818" width="8.28515625" style="1" customWidth="1"/>
    <col min="2819" max="2819" width="10.5703125" style="1" customWidth="1"/>
    <col min="2820" max="2820" width="15.140625" style="1" customWidth="1"/>
    <col min="2821" max="2822" width="12" style="1" customWidth="1"/>
    <col min="2823" max="2824" width="13.85546875" style="1" customWidth="1"/>
    <col min="2825" max="2825" width="51.5703125" style="1" customWidth="1"/>
    <col min="2826" max="3073" width="9.140625" style="1"/>
    <col min="3074" max="3074" width="8.28515625" style="1" customWidth="1"/>
    <col min="3075" max="3075" width="10.5703125" style="1" customWidth="1"/>
    <col min="3076" max="3076" width="15.140625" style="1" customWidth="1"/>
    <col min="3077" max="3078" width="12" style="1" customWidth="1"/>
    <col min="3079" max="3080" width="13.85546875" style="1" customWidth="1"/>
    <col min="3081" max="3081" width="51.5703125" style="1" customWidth="1"/>
    <col min="3082" max="3329" width="9.140625" style="1"/>
    <col min="3330" max="3330" width="8.28515625" style="1" customWidth="1"/>
    <col min="3331" max="3331" width="10.5703125" style="1" customWidth="1"/>
    <col min="3332" max="3332" width="15.140625" style="1" customWidth="1"/>
    <col min="3333" max="3334" width="12" style="1" customWidth="1"/>
    <col min="3335" max="3336" width="13.85546875" style="1" customWidth="1"/>
    <col min="3337" max="3337" width="51.5703125" style="1" customWidth="1"/>
    <col min="3338" max="3585" width="9.140625" style="1"/>
    <col min="3586" max="3586" width="8.28515625" style="1" customWidth="1"/>
    <col min="3587" max="3587" width="10.5703125" style="1" customWidth="1"/>
    <col min="3588" max="3588" width="15.140625" style="1" customWidth="1"/>
    <col min="3589" max="3590" width="12" style="1" customWidth="1"/>
    <col min="3591" max="3592" width="13.85546875" style="1" customWidth="1"/>
    <col min="3593" max="3593" width="51.5703125" style="1" customWidth="1"/>
    <col min="3594" max="3841" width="9.140625" style="1"/>
    <col min="3842" max="3842" width="8.28515625" style="1" customWidth="1"/>
    <col min="3843" max="3843" width="10.5703125" style="1" customWidth="1"/>
    <col min="3844" max="3844" width="15.140625" style="1" customWidth="1"/>
    <col min="3845" max="3846" width="12" style="1" customWidth="1"/>
    <col min="3847" max="3848" width="13.85546875" style="1" customWidth="1"/>
    <col min="3849" max="3849" width="51.5703125" style="1" customWidth="1"/>
    <col min="3850" max="4097" width="9.140625" style="1"/>
    <col min="4098" max="4098" width="8.28515625" style="1" customWidth="1"/>
    <col min="4099" max="4099" width="10.5703125" style="1" customWidth="1"/>
    <col min="4100" max="4100" width="15.140625" style="1" customWidth="1"/>
    <col min="4101" max="4102" width="12" style="1" customWidth="1"/>
    <col min="4103" max="4104" width="13.85546875" style="1" customWidth="1"/>
    <col min="4105" max="4105" width="51.5703125" style="1" customWidth="1"/>
    <col min="4106" max="4353" width="9.140625" style="1"/>
    <col min="4354" max="4354" width="8.28515625" style="1" customWidth="1"/>
    <col min="4355" max="4355" width="10.5703125" style="1" customWidth="1"/>
    <col min="4356" max="4356" width="15.140625" style="1" customWidth="1"/>
    <col min="4357" max="4358" width="12" style="1" customWidth="1"/>
    <col min="4359" max="4360" width="13.85546875" style="1" customWidth="1"/>
    <col min="4361" max="4361" width="51.5703125" style="1" customWidth="1"/>
    <col min="4362" max="4609" width="9.140625" style="1"/>
    <col min="4610" max="4610" width="8.28515625" style="1" customWidth="1"/>
    <col min="4611" max="4611" width="10.5703125" style="1" customWidth="1"/>
    <col min="4612" max="4612" width="15.140625" style="1" customWidth="1"/>
    <col min="4613" max="4614" width="12" style="1" customWidth="1"/>
    <col min="4615" max="4616" width="13.85546875" style="1" customWidth="1"/>
    <col min="4617" max="4617" width="51.5703125" style="1" customWidth="1"/>
    <col min="4618" max="4865" width="9.140625" style="1"/>
    <col min="4866" max="4866" width="8.28515625" style="1" customWidth="1"/>
    <col min="4867" max="4867" width="10.5703125" style="1" customWidth="1"/>
    <col min="4868" max="4868" width="15.140625" style="1" customWidth="1"/>
    <col min="4869" max="4870" width="12" style="1" customWidth="1"/>
    <col min="4871" max="4872" width="13.85546875" style="1" customWidth="1"/>
    <col min="4873" max="4873" width="51.5703125" style="1" customWidth="1"/>
    <col min="4874" max="5121" width="9.140625" style="1"/>
    <col min="5122" max="5122" width="8.28515625" style="1" customWidth="1"/>
    <col min="5123" max="5123" width="10.5703125" style="1" customWidth="1"/>
    <col min="5124" max="5124" width="15.140625" style="1" customWidth="1"/>
    <col min="5125" max="5126" width="12" style="1" customWidth="1"/>
    <col min="5127" max="5128" width="13.85546875" style="1" customWidth="1"/>
    <col min="5129" max="5129" width="51.5703125" style="1" customWidth="1"/>
    <col min="5130" max="5377" width="9.140625" style="1"/>
    <col min="5378" max="5378" width="8.28515625" style="1" customWidth="1"/>
    <col min="5379" max="5379" width="10.5703125" style="1" customWidth="1"/>
    <col min="5380" max="5380" width="15.140625" style="1" customWidth="1"/>
    <col min="5381" max="5382" width="12" style="1" customWidth="1"/>
    <col min="5383" max="5384" width="13.85546875" style="1" customWidth="1"/>
    <col min="5385" max="5385" width="51.5703125" style="1" customWidth="1"/>
    <col min="5386" max="5633" width="9.140625" style="1"/>
    <col min="5634" max="5634" width="8.28515625" style="1" customWidth="1"/>
    <col min="5635" max="5635" width="10.5703125" style="1" customWidth="1"/>
    <col min="5636" max="5636" width="15.140625" style="1" customWidth="1"/>
    <col min="5637" max="5638" width="12" style="1" customWidth="1"/>
    <col min="5639" max="5640" width="13.85546875" style="1" customWidth="1"/>
    <col min="5641" max="5641" width="51.5703125" style="1" customWidth="1"/>
    <col min="5642" max="5889" width="9.140625" style="1"/>
    <col min="5890" max="5890" width="8.28515625" style="1" customWidth="1"/>
    <col min="5891" max="5891" width="10.5703125" style="1" customWidth="1"/>
    <col min="5892" max="5892" width="15.140625" style="1" customWidth="1"/>
    <col min="5893" max="5894" width="12" style="1" customWidth="1"/>
    <col min="5895" max="5896" width="13.85546875" style="1" customWidth="1"/>
    <col min="5897" max="5897" width="51.5703125" style="1" customWidth="1"/>
    <col min="5898" max="6145" width="9.140625" style="1"/>
    <col min="6146" max="6146" width="8.28515625" style="1" customWidth="1"/>
    <col min="6147" max="6147" width="10.5703125" style="1" customWidth="1"/>
    <col min="6148" max="6148" width="15.140625" style="1" customWidth="1"/>
    <col min="6149" max="6150" width="12" style="1" customWidth="1"/>
    <col min="6151" max="6152" width="13.85546875" style="1" customWidth="1"/>
    <col min="6153" max="6153" width="51.5703125" style="1" customWidth="1"/>
    <col min="6154" max="6401" width="9.140625" style="1"/>
    <col min="6402" max="6402" width="8.28515625" style="1" customWidth="1"/>
    <col min="6403" max="6403" width="10.5703125" style="1" customWidth="1"/>
    <col min="6404" max="6404" width="15.140625" style="1" customWidth="1"/>
    <col min="6405" max="6406" width="12" style="1" customWidth="1"/>
    <col min="6407" max="6408" width="13.85546875" style="1" customWidth="1"/>
    <col min="6409" max="6409" width="51.5703125" style="1" customWidth="1"/>
    <col min="6410" max="6657" width="9.140625" style="1"/>
    <col min="6658" max="6658" width="8.28515625" style="1" customWidth="1"/>
    <col min="6659" max="6659" width="10.5703125" style="1" customWidth="1"/>
    <col min="6660" max="6660" width="15.140625" style="1" customWidth="1"/>
    <col min="6661" max="6662" width="12" style="1" customWidth="1"/>
    <col min="6663" max="6664" width="13.85546875" style="1" customWidth="1"/>
    <col min="6665" max="6665" width="51.5703125" style="1" customWidth="1"/>
    <col min="6666" max="6913" width="9.140625" style="1"/>
    <col min="6914" max="6914" width="8.28515625" style="1" customWidth="1"/>
    <col min="6915" max="6915" width="10.5703125" style="1" customWidth="1"/>
    <col min="6916" max="6916" width="15.140625" style="1" customWidth="1"/>
    <col min="6917" max="6918" width="12" style="1" customWidth="1"/>
    <col min="6919" max="6920" width="13.85546875" style="1" customWidth="1"/>
    <col min="6921" max="6921" width="51.5703125" style="1" customWidth="1"/>
    <col min="6922" max="7169" width="9.140625" style="1"/>
    <col min="7170" max="7170" width="8.28515625" style="1" customWidth="1"/>
    <col min="7171" max="7171" width="10.5703125" style="1" customWidth="1"/>
    <col min="7172" max="7172" width="15.140625" style="1" customWidth="1"/>
    <col min="7173" max="7174" width="12" style="1" customWidth="1"/>
    <col min="7175" max="7176" width="13.85546875" style="1" customWidth="1"/>
    <col min="7177" max="7177" width="51.5703125" style="1" customWidth="1"/>
    <col min="7178" max="7425" width="9.140625" style="1"/>
    <col min="7426" max="7426" width="8.28515625" style="1" customWidth="1"/>
    <col min="7427" max="7427" width="10.5703125" style="1" customWidth="1"/>
    <col min="7428" max="7428" width="15.140625" style="1" customWidth="1"/>
    <col min="7429" max="7430" width="12" style="1" customWidth="1"/>
    <col min="7431" max="7432" width="13.85546875" style="1" customWidth="1"/>
    <col min="7433" max="7433" width="51.5703125" style="1" customWidth="1"/>
    <col min="7434" max="7681" width="9.140625" style="1"/>
    <col min="7682" max="7682" width="8.28515625" style="1" customWidth="1"/>
    <col min="7683" max="7683" width="10.5703125" style="1" customWidth="1"/>
    <col min="7684" max="7684" width="15.140625" style="1" customWidth="1"/>
    <col min="7685" max="7686" width="12" style="1" customWidth="1"/>
    <col min="7687" max="7688" width="13.85546875" style="1" customWidth="1"/>
    <col min="7689" max="7689" width="51.5703125" style="1" customWidth="1"/>
    <col min="7690" max="7937" width="9.140625" style="1"/>
    <col min="7938" max="7938" width="8.28515625" style="1" customWidth="1"/>
    <col min="7939" max="7939" width="10.5703125" style="1" customWidth="1"/>
    <col min="7940" max="7940" width="15.140625" style="1" customWidth="1"/>
    <col min="7941" max="7942" width="12" style="1" customWidth="1"/>
    <col min="7943" max="7944" width="13.85546875" style="1" customWidth="1"/>
    <col min="7945" max="7945" width="51.5703125" style="1" customWidth="1"/>
    <col min="7946" max="8193" width="9.140625" style="1"/>
    <col min="8194" max="8194" width="8.28515625" style="1" customWidth="1"/>
    <col min="8195" max="8195" width="10.5703125" style="1" customWidth="1"/>
    <col min="8196" max="8196" width="15.140625" style="1" customWidth="1"/>
    <col min="8197" max="8198" width="12" style="1" customWidth="1"/>
    <col min="8199" max="8200" width="13.85546875" style="1" customWidth="1"/>
    <col min="8201" max="8201" width="51.5703125" style="1" customWidth="1"/>
    <col min="8202" max="8449" width="9.140625" style="1"/>
    <col min="8450" max="8450" width="8.28515625" style="1" customWidth="1"/>
    <col min="8451" max="8451" width="10.5703125" style="1" customWidth="1"/>
    <col min="8452" max="8452" width="15.140625" style="1" customWidth="1"/>
    <col min="8453" max="8454" width="12" style="1" customWidth="1"/>
    <col min="8455" max="8456" width="13.85546875" style="1" customWidth="1"/>
    <col min="8457" max="8457" width="51.5703125" style="1" customWidth="1"/>
    <col min="8458" max="8705" width="9.140625" style="1"/>
    <col min="8706" max="8706" width="8.28515625" style="1" customWidth="1"/>
    <col min="8707" max="8707" width="10.5703125" style="1" customWidth="1"/>
    <col min="8708" max="8708" width="15.140625" style="1" customWidth="1"/>
    <col min="8709" max="8710" width="12" style="1" customWidth="1"/>
    <col min="8711" max="8712" width="13.85546875" style="1" customWidth="1"/>
    <col min="8713" max="8713" width="51.5703125" style="1" customWidth="1"/>
    <col min="8714" max="8961" width="9.140625" style="1"/>
    <col min="8962" max="8962" width="8.28515625" style="1" customWidth="1"/>
    <col min="8963" max="8963" width="10.5703125" style="1" customWidth="1"/>
    <col min="8964" max="8964" width="15.140625" style="1" customWidth="1"/>
    <col min="8965" max="8966" width="12" style="1" customWidth="1"/>
    <col min="8967" max="8968" width="13.85546875" style="1" customWidth="1"/>
    <col min="8969" max="8969" width="51.5703125" style="1" customWidth="1"/>
    <col min="8970" max="9217" width="9.140625" style="1"/>
    <col min="9218" max="9218" width="8.28515625" style="1" customWidth="1"/>
    <col min="9219" max="9219" width="10.5703125" style="1" customWidth="1"/>
    <col min="9220" max="9220" width="15.140625" style="1" customWidth="1"/>
    <col min="9221" max="9222" width="12" style="1" customWidth="1"/>
    <col min="9223" max="9224" width="13.85546875" style="1" customWidth="1"/>
    <col min="9225" max="9225" width="51.5703125" style="1" customWidth="1"/>
    <col min="9226" max="9473" width="9.140625" style="1"/>
    <col min="9474" max="9474" width="8.28515625" style="1" customWidth="1"/>
    <col min="9475" max="9475" width="10.5703125" style="1" customWidth="1"/>
    <col min="9476" max="9476" width="15.140625" style="1" customWidth="1"/>
    <col min="9477" max="9478" width="12" style="1" customWidth="1"/>
    <col min="9479" max="9480" width="13.85546875" style="1" customWidth="1"/>
    <col min="9481" max="9481" width="51.5703125" style="1" customWidth="1"/>
    <col min="9482" max="9729" width="9.140625" style="1"/>
    <col min="9730" max="9730" width="8.28515625" style="1" customWidth="1"/>
    <col min="9731" max="9731" width="10.5703125" style="1" customWidth="1"/>
    <col min="9732" max="9732" width="15.140625" style="1" customWidth="1"/>
    <col min="9733" max="9734" width="12" style="1" customWidth="1"/>
    <col min="9735" max="9736" width="13.85546875" style="1" customWidth="1"/>
    <col min="9737" max="9737" width="51.5703125" style="1" customWidth="1"/>
    <col min="9738" max="9985" width="9.140625" style="1"/>
    <col min="9986" max="9986" width="8.28515625" style="1" customWidth="1"/>
    <col min="9987" max="9987" width="10.5703125" style="1" customWidth="1"/>
    <col min="9988" max="9988" width="15.140625" style="1" customWidth="1"/>
    <col min="9989" max="9990" width="12" style="1" customWidth="1"/>
    <col min="9991" max="9992" width="13.85546875" style="1" customWidth="1"/>
    <col min="9993" max="9993" width="51.5703125" style="1" customWidth="1"/>
    <col min="9994" max="10241" width="9.140625" style="1"/>
    <col min="10242" max="10242" width="8.28515625" style="1" customWidth="1"/>
    <col min="10243" max="10243" width="10.5703125" style="1" customWidth="1"/>
    <col min="10244" max="10244" width="15.140625" style="1" customWidth="1"/>
    <col min="10245" max="10246" width="12" style="1" customWidth="1"/>
    <col min="10247" max="10248" width="13.85546875" style="1" customWidth="1"/>
    <col min="10249" max="10249" width="51.5703125" style="1" customWidth="1"/>
    <col min="10250" max="10497" width="9.140625" style="1"/>
    <col min="10498" max="10498" width="8.28515625" style="1" customWidth="1"/>
    <col min="10499" max="10499" width="10.5703125" style="1" customWidth="1"/>
    <col min="10500" max="10500" width="15.140625" style="1" customWidth="1"/>
    <col min="10501" max="10502" width="12" style="1" customWidth="1"/>
    <col min="10503" max="10504" width="13.85546875" style="1" customWidth="1"/>
    <col min="10505" max="10505" width="51.5703125" style="1" customWidth="1"/>
    <col min="10506" max="10753" width="9.140625" style="1"/>
    <col min="10754" max="10754" width="8.28515625" style="1" customWidth="1"/>
    <col min="10755" max="10755" width="10.5703125" style="1" customWidth="1"/>
    <col min="10756" max="10756" width="15.140625" style="1" customWidth="1"/>
    <col min="10757" max="10758" width="12" style="1" customWidth="1"/>
    <col min="10759" max="10760" width="13.85546875" style="1" customWidth="1"/>
    <col min="10761" max="10761" width="51.5703125" style="1" customWidth="1"/>
    <col min="10762" max="11009" width="9.140625" style="1"/>
    <col min="11010" max="11010" width="8.28515625" style="1" customWidth="1"/>
    <col min="11011" max="11011" width="10.5703125" style="1" customWidth="1"/>
    <col min="11012" max="11012" width="15.140625" style="1" customWidth="1"/>
    <col min="11013" max="11014" width="12" style="1" customWidth="1"/>
    <col min="11015" max="11016" width="13.85546875" style="1" customWidth="1"/>
    <col min="11017" max="11017" width="51.5703125" style="1" customWidth="1"/>
    <col min="11018" max="11265" width="9.140625" style="1"/>
    <col min="11266" max="11266" width="8.28515625" style="1" customWidth="1"/>
    <col min="11267" max="11267" width="10.5703125" style="1" customWidth="1"/>
    <col min="11268" max="11268" width="15.140625" style="1" customWidth="1"/>
    <col min="11269" max="11270" width="12" style="1" customWidth="1"/>
    <col min="11271" max="11272" width="13.85546875" style="1" customWidth="1"/>
    <col min="11273" max="11273" width="51.5703125" style="1" customWidth="1"/>
    <col min="11274" max="11521" width="9.140625" style="1"/>
    <col min="11522" max="11522" width="8.28515625" style="1" customWidth="1"/>
    <col min="11523" max="11523" width="10.5703125" style="1" customWidth="1"/>
    <col min="11524" max="11524" width="15.140625" style="1" customWidth="1"/>
    <col min="11525" max="11526" width="12" style="1" customWidth="1"/>
    <col min="11527" max="11528" width="13.85546875" style="1" customWidth="1"/>
    <col min="11529" max="11529" width="51.5703125" style="1" customWidth="1"/>
    <col min="11530" max="11777" width="9.140625" style="1"/>
    <col min="11778" max="11778" width="8.28515625" style="1" customWidth="1"/>
    <col min="11779" max="11779" width="10.5703125" style="1" customWidth="1"/>
    <col min="11780" max="11780" width="15.140625" style="1" customWidth="1"/>
    <col min="11781" max="11782" width="12" style="1" customWidth="1"/>
    <col min="11783" max="11784" width="13.85546875" style="1" customWidth="1"/>
    <col min="11785" max="11785" width="51.5703125" style="1" customWidth="1"/>
    <col min="11786" max="12033" width="9.140625" style="1"/>
    <col min="12034" max="12034" width="8.28515625" style="1" customWidth="1"/>
    <col min="12035" max="12035" width="10.5703125" style="1" customWidth="1"/>
    <col min="12036" max="12036" width="15.140625" style="1" customWidth="1"/>
    <col min="12037" max="12038" width="12" style="1" customWidth="1"/>
    <col min="12039" max="12040" width="13.85546875" style="1" customWidth="1"/>
    <col min="12041" max="12041" width="51.5703125" style="1" customWidth="1"/>
    <col min="12042" max="12289" width="9.140625" style="1"/>
    <col min="12290" max="12290" width="8.28515625" style="1" customWidth="1"/>
    <col min="12291" max="12291" width="10.5703125" style="1" customWidth="1"/>
    <col min="12292" max="12292" width="15.140625" style="1" customWidth="1"/>
    <col min="12293" max="12294" width="12" style="1" customWidth="1"/>
    <col min="12295" max="12296" width="13.85546875" style="1" customWidth="1"/>
    <col min="12297" max="12297" width="51.5703125" style="1" customWidth="1"/>
    <col min="12298" max="12545" width="9.140625" style="1"/>
    <col min="12546" max="12546" width="8.28515625" style="1" customWidth="1"/>
    <col min="12547" max="12547" width="10.5703125" style="1" customWidth="1"/>
    <col min="12548" max="12548" width="15.140625" style="1" customWidth="1"/>
    <col min="12549" max="12550" width="12" style="1" customWidth="1"/>
    <col min="12551" max="12552" width="13.85546875" style="1" customWidth="1"/>
    <col min="12553" max="12553" width="51.5703125" style="1" customWidth="1"/>
    <col min="12554" max="12801" width="9.140625" style="1"/>
    <col min="12802" max="12802" width="8.28515625" style="1" customWidth="1"/>
    <col min="12803" max="12803" width="10.5703125" style="1" customWidth="1"/>
    <col min="12804" max="12804" width="15.140625" style="1" customWidth="1"/>
    <col min="12805" max="12806" width="12" style="1" customWidth="1"/>
    <col min="12807" max="12808" width="13.85546875" style="1" customWidth="1"/>
    <col min="12809" max="12809" width="51.5703125" style="1" customWidth="1"/>
    <col min="12810" max="13057" width="9.140625" style="1"/>
    <col min="13058" max="13058" width="8.28515625" style="1" customWidth="1"/>
    <col min="13059" max="13059" width="10.5703125" style="1" customWidth="1"/>
    <col min="13060" max="13060" width="15.140625" style="1" customWidth="1"/>
    <col min="13061" max="13062" width="12" style="1" customWidth="1"/>
    <col min="13063" max="13064" width="13.85546875" style="1" customWidth="1"/>
    <col min="13065" max="13065" width="51.5703125" style="1" customWidth="1"/>
    <col min="13066" max="13313" width="9.140625" style="1"/>
    <col min="13314" max="13314" width="8.28515625" style="1" customWidth="1"/>
    <col min="13315" max="13315" width="10.5703125" style="1" customWidth="1"/>
    <col min="13316" max="13316" width="15.140625" style="1" customWidth="1"/>
    <col min="13317" max="13318" width="12" style="1" customWidth="1"/>
    <col min="13319" max="13320" width="13.85546875" style="1" customWidth="1"/>
    <col min="13321" max="13321" width="51.5703125" style="1" customWidth="1"/>
    <col min="13322" max="13569" width="9.140625" style="1"/>
    <col min="13570" max="13570" width="8.28515625" style="1" customWidth="1"/>
    <col min="13571" max="13571" width="10.5703125" style="1" customWidth="1"/>
    <col min="13572" max="13572" width="15.140625" style="1" customWidth="1"/>
    <col min="13573" max="13574" width="12" style="1" customWidth="1"/>
    <col min="13575" max="13576" width="13.85546875" style="1" customWidth="1"/>
    <col min="13577" max="13577" width="51.5703125" style="1" customWidth="1"/>
    <col min="13578" max="13825" width="9.140625" style="1"/>
    <col min="13826" max="13826" width="8.28515625" style="1" customWidth="1"/>
    <col min="13827" max="13827" width="10.5703125" style="1" customWidth="1"/>
    <col min="13828" max="13828" width="15.140625" style="1" customWidth="1"/>
    <col min="13829" max="13830" width="12" style="1" customWidth="1"/>
    <col min="13831" max="13832" width="13.85546875" style="1" customWidth="1"/>
    <col min="13833" max="13833" width="51.5703125" style="1" customWidth="1"/>
    <col min="13834" max="14081" width="9.140625" style="1"/>
    <col min="14082" max="14082" width="8.28515625" style="1" customWidth="1"/>
    <col min="14083" max="14083" width="10.5703125" style="1" customWidth="1"/>
    <col min="14084" max="14084" width="15.140625" style="1" customWidth="1"/>
    <col min="14085" max="14086" width="12" style="1" customWidth="1"/>
    <col min="14087" max="14088" width="13.85546875" style="1" customWidth="1"/>
    <col min="14089" max="14089" width="51.5703125" style="1" customWidth="1"/>
    <col min="14090" max="14337" width="9.140625" style="1"/>
    <col min="14338" max="14338" width="8.28515625" style="1" customWidth="1"/>
    <col min="14339" max="14339" width="10.5703125" style="1" customWidth="1"/>
    <col min="14340" max="14340" width="15.140625" style="1" customWidth="1"/>
    <col min="14341" max="14342" width="12" style="1" customWidth="1"/>
    <col min="14343" max="14344" width="13.85546875" style="1" customWidth="1"/>
    <col min="14345" max="14345" width="51.5703125" style="1" customWidth="1"/>
    <col min="14346" max="14593" width="9.140625" style="1"/>
    <col min="14594" max="14594" width="8.28515625" style="1" customWidth="1"/>
    <col min="14595" max="14595" width="10.5703125" style="1" customWidth="1"/>
    <col min="14596" max="14596" width="15.140625" style="1" customWidth="1"/>
    <col min="14597" max="14598" width="12" style="1" customWidth="1"/>
    <col min="14599" max="14600" width="13.85546875" style="1" customWidth="1"/>
    <col min="14601" max="14601" width="51.5703125" style="1" customWidth="1"/>
    <col min="14602" max="14849" width="9.140625" style="1"/>
    <col min="14850" max="14850" width="8.28515625" style="1" customWidth="1"/>
    <col min="14851" max="14851" width="10.5703125" style="1" customWidth="1"/>
    <col min="14852" max="14852" width="15.140625" style="1" customWidth="1"/>
    <col min="14853" max="14854" width="12" style="1" customWidth="1"/>
    <col min="14855" max="14856" width="13.85546875" style="1" customWidth="1"/>
    <col min="14857" max="14857" width="51.5703125" style="1" customWidth="1"/>
    <col min="14858" max="15105" width="9.140625" style="1"/>
    <col min="15106" max="15106" width="8.28515625" style="1" customWidth="1"/>
    <col min="15107" max="15107" width="10.5703125" style="1" customWidth="1"/>
    <col min="15108" max="15108" width="15.140625" style="1" customWidth="1"/>
    <col min="15109" max="15110" width="12" style="1" customWidth="1"/>
    <col min="15111" max="15112" width="13.85546875" style="1" customWidth="1"/>
    <col min="15113" max="15113" width="51.5703125" style="1" customWidth="1"/>
    <col min="15114" max="15361" width="9.140625" style="1"/>
    <col min="15362" max="15362" width="8.28515625" style="1" customWidth="1"/>
    <col min="15363" max="15363" width="10.5703125" style="1" customWidth="1"/>
    <col min="15364" max="15364" width="15.140625" style="1" customWidth="1"/>
    <col min="15365" max="15366" width="12" style="1" customWidth="1"/>
    <col min="15367" max="15368" width="13.85546875" style="1" customWidth="1"/>
    <col min="15369" max="15369" width="51.5703125" style="1" customWidth="1"/>
    <col min="15370" max="15617" width="9.140625" style="1"/>
    <col min="15618" max="15618" width="8.28515625" style="1" customWidth="1"/>
    <col min="15619" max="15619" width="10.5703125" style="1" customWidth="1"/>
    <col min="15620" max="15620" width="15.140625" style="1" customWidth="1"/>
    <col min="15621" max="15622" width="12" style="1" customWidth="1"/>
    <col min="15623" max="15624" width="13.85546875" style="1" customWidth="1"/>
    <col min="15625" max="15625" width="51.5703125" style="1" customWidth="1"/>
    <col min="15626" max="15873" width="9.140625" style="1"/>
    <col min="15874" max="15874" width="8.28515625" style="1" customWidth="1"/>
    <col min="15875" max="15875" width="10.5703125" style="1" customWidth="1"/>
    <col min="15876" max="15876" width="15.140625" style="1" customWidth="1"/>
    <col min="15877" max="15878" width="12" style="1" customWidth="1"/>
    <col min="15879" max="15880" width="13.85546875" style="1" customWidth="1"/>
    <col min="15881" max="15881" width="51.5703125" style="1" customWidth="1"/>
    <col min="15882" max="16129" width="9.140625" style="1"/>
    <col min="16130" max="16130" width="8.28515625" style="1" customWidth="1"/>
    <col min="16131" max="16131" width="10.5703125" style="1" customWidth="1"/>
    <col min="16132" max="16132" width="15.140625" style="1" customWidth="1"/>
    <col min="16133" max="16134" width="12" style="1" customWidth="1"/>
    <col min="16135" max="16136" width="13.85546875" style="1" customWidth="1"/>
    <col min="16137" max="16137" width="51.5703125" style="1" customWidth="1"/>
    <col min="16138" max="16384" width="9.140625" style="1"/>
  </cols>
  <sheetData>
    <row r="1" spans="1:9" ht="56.25" customHeight="1">
      <c r="A1" s="134"/>
      <c r="B1" s="134"/>
      <c r="C1" s="153" t="s">
        <v>123</v>
      </c>
      <c r="D1" s="153"/>
      <c r="E1" s="152"/>
      <c r="F1" s="152"/>
      <c r="G1" s="152"/>
      <c r="H1" s="1552" t="s">
        <v>1066</v>
      </c>
      <c r="I1" s="1552"/>
    </row>
    <row r="2" spans="1:9" ht="45" customHeight="1">
      <c r="A2" s="1661" t="s">
        <v>122</v>
      </c>
      <c r="B2" s="1661"/>
      <c r="C2" s="1661"/>
      <c r="D2" s="1661"/>
      <c r="E2" s="1661"/>
      <c r="F2" s="1661"/>
      <c r="G2" s="1661"/>
      <c r="H2" s="1661"/>
      <c r="I2" s="1661"/>
    </row>
    <row r="3" spans="1:9" ht="15.75" thickBot="1">
      <c r="A3" s="10"/>
      <c r="B3" s="10"/>
      <c r="C3" s="10"/>
      <c r="D3" s="10"/>
      <c r="E3" s="10"/>
      <c r="F3" s="10"/>
      <c r="G3" s="10"/>
      <c r="H3" s="10"/>
      <c r="I3" s="9" t="s">
        <v>45</v>
      </c>
    </row>
    <row r="4" spans="1:9" ht="15.75" thickBot="1">
      <c r="A4" s="1662" t="s">
        <v>0</v>
      </c>
      <c r="B4" s="1662" t="s">
        <v>1</v>
      </c>
      <c r="C4" s="1664" t="s">
        <v>119</v>
      </c>
      <c r="D4" s="1676" t="s">
        <v>8</v>
      </c>
      <c r="E4" s="1665" t="s">
        <v>46</v>
      </c>
      <c r="F4" s="1675" t="s">
        <v>94</v>
      </c>
      <c r="G4" s="1665"/>
      <c r="H4" s="1665" t="s">
        <v>117</v>
      </c>
      <c r="I4" s="1662" t="s">
        <v>116</v>
      </c>
    </row>
    <row r="5" spans="1:9" ht="15.75" customHeight="1" thickBot="1">
      <c r="A5" s="1662"/>
      <c r="B5" s="1662"/>
      <c r="C5" s="1664"/>
      <c r="D5" s="1677"/>
      <c r="E5" s="1665"/>
      <c r="F5" s="1675" t="s">
        <v>44</v>
      </c>
      <c r="G5" s="1665" t="s">
        <v>43</v>
      </c>
      <c r="H5" s="1665"/>
      <c r="I5" s="1662"/>
    </row>
    <row r="6" spans="1:9" ht="15.75" customHeight="1" thickBot="1">
      <c r="A6" s="1662"/>
      <c r="B6" s="1662"/>
      <c r="C6" s="1664"/>
      <c r="D6" s="1678"/>
      <c r="E6" s="1665"/>
      <c r="F6" s="1675"/>
      <c r="G6" s="1665"/>
      <c r="H6" s="1665"/>
      <c r="I6" s="1662"/>
    </row>
    <row r="7" spans="1:9" ht="33.75" customHeight="1" thickBot="1">
      <c r="A7" s="1671" t="s">
        <v>7</v>
      </c>
      <c r="B7" s="1576" t="s">
        <v>42</v>
      </c>
      <c r="C7" s="1670"/>
      <c r="D7" s="1577"/>
      <c r="E7" s="169">
        <f>SUM(E8)</f>
        <v>300000</v>
      </c>
      <c r="F7" s="168">
        <f>SUM(F8)</f>
        <v>300000</v>
      </c>
      <c r="G7" s="167">
        <f>SUM(G8)</f>
        <v>0</v>
      </c>
      <c r="H7" s="166"/>
      <c r="I7" s="165"/>
    </row>
    <row r="8" spans="1:9" ht="125.25" customHeight="1" thickBot="1">
      <c r="A8" s="1672"/>
      <c r="B8" s="164" t="s">
        <v>3</v>
      </c>
      <c r="C8" s="163" t="s">
        <v>9</v>
      </c>
      <c r="D8" s="162" t="s">
        <v>36</v>
      </c>
      <c r="E8" s="161">
        <f>SUM(F8:G8)</f>
        <v>300000</v>
      </c>
      <c r="F8" s="160">
        <v>300000</v>
      </c>
      <c r="G8" s="159">
        <v>0</v>
      </c>
      <c r="H8" s="142" t="s">
        <v>121</v>
      </c>
      <c r="I8" s="158" t="s">
        <v>120</v>
      </c>
    </row>
    <row r="9" spans="1:9" ht="23.25" customHeight="1" thickBot="1">
      <c r="A9" s="1673" t="s">
        <v>113</v>
      </c>
      <c r="B9" s="1673"/>
      <c r="C9" s="1674"/>
      <c r="D9" s="157"/>
      <c r="E9" s="156">
        <f>SUM(E7)</f>
        <v>300000</v>
      </c>
      <c r="F9" s="156">
        <f>SUM(F7)</f>
        <v>300000</v>
      </c>
      <c r="G9" s="155">
        <f>SUM(G7)</f>
        <v>0</v>
      </c>
      <c r="H9" s="60"/>
      <c r="I9" s="154"/>
    </row>
    <row r="23" spans="5:5">
      <c r="E23" s="310"/>
    </row>
  </sheetData>
  <mergeCells count="15">
    <mergeCell ref="B7:D7"/>
    <mergeCell ref="G5:G6"/>
    <mergeCell ref="A7:A8"/>
    <mergeCell ref="A9:C9"/>
    <mergeCell ref="H1:I1"/>
    <mergeCell ref="A2:I2"/>
    <mergeCell ref="A4:A6"/>
    <mergeCell ref="B4:B6"/>
    <mergeCell ref="C4:C6"/>
    <mergeCell ref="E4:E6"/>
    <mergeCell ref="F4:G4"/>
    <mergeCell ref="H4:H6"/>
    <mergeCell ref="I4:I6"/>
    <mergeCell ref="F5:F6"/>
    <mergeCell ref="D4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K23"/>
  <sheetViews>
    <sheetView view="pageBreakPreview" zoomScaleNormal="100" zoomScaleSheetLayoutView="100" workbookViewId="0">
      <selection activeCell="G1" sqref="G1:K1"/>
    </sheetView>
  </sheetViews>
  <sheetFormatPr defaultRowHeight="12.75"/>
  <cols>
    <col min="1" max="1" width="9.140625" style="1"/>
    <col min="2" max="2" width="11" style="1" customWidth="1"/>
    <col min="3" max="3" width="11.140625" style="1" customWidth="1"/>
    <col min="4" max="4" width="9.140625" style="1"/>
    <col min="5" max="5" width="10.5703125" style="1" customWidth="1"/>
    <col min="6" max="6" width="11.42578125" style="1" customWidth="1"/>
    <col min="7" max="7" width="12.85546875" style="1" customWidth="1"/>
    <col min="8" max="8" width="18.85546875" style="1" customWidth="1"/>
    <col min="9" max="9" width="12" style="1" customWidth="1"/>
    <col min="10" max="10" width="13" style="1" customWidth="1"/>
    <col min="11" max="11" width="15.140625" style="1" customWidth="1"/>
    <col min="12" max="257" width="9.140625" style="1"/>
    <col min="258" max="258" width="11" style="1" customWidth="1"/>
    <col min="259" max="259" width="11.140625" style="1" customWidth="1"/>
    <col min="260" max="260" width="9.140625" style="1"/>
    <col min="261" max="261" width="10.5703125" style="1" customWidth="1"/>
    <col min="262" max="262" width="11.42578125" style="1" customWidth="1"/>
    <col min="263" max="263" width="12.85546875" style="1" customWidth="1"/>
    <col min="264" max="264" width="18.85546875" style="1" customWidth="1"/>
    <col min="265" max="265" width="12" style="1" customWidth="1"/>
    <col min="266" max="266" width="13" style="1" customWidth="1"/>
    <col min="267" max="267" width="15.140625" style="1" customWidth="1"/>
    <col min="268" max="513" width="9.140625" style="1"/>
    <col min="514" max="514" width="11" style="1" customWidth="1"/>
    <col min="515" max="515" width="11.140625" style="1" customWidth="1"/>
    <col min="516" max="516" width="9.140625" style="1"/>
    <col min="517" max="517" width="10.5703125" style="1" customWidth="1"/>
    <col min="518" max="518" width="11.42578125" style="1" customWidth="1"/>
    <col min="519" max="519" width="12.85546875" style="1" customWidth="1"/>
    <col min="520" max="520" width="18.85546875" style="1" customWidth="1"/>
    <col min="521" max="521" width="12" style="1" customWidth="1"/>
    <col min="522" max="522" width="13" style="1" customWidth="1"/>
    <col min="523" max="523" width="15.140625" style="1" customWidth="1"/>
    <col min="524" max="769" width="9.140625" style="1"/>
    <col min="770" max="770" width="11" style="1" customWidth="1"/>
    <col min="771" max="771" width="11.140625" style="1" customWidth="1"/>
    <col min="772" max="772" width="9.140625" style="1"/>
    <col min="773" max="773" width="10.5703125" style="1" customWidth="1"/>
    <col min="774" max="774" width="11.42578125" style="1" customWidth="1"/>
    <col min="775" max="775" width="12.85546875" style="1" customWidth="1"/>
    <col min="776" max="776" width="18.85546875" style="1" customWidth="1"/>
    <col min="777" max="777" width="12" style="1" customWidth="1"/>
    <col min="778" max="778" width="13" style="1" customWidth="1"/>
    <col min="779" max="779" width="15.140625" style="1" customWidth="1"/>
    <col min="780" max="1025" width="9.140625" style="1"/>
    <col min="1026" max="1026" width="11" style="1" customWidth="1"/>
    <col min="1027" max="1027" width="11.140625" style="1" customWidth="1"/>
    <col min="1028" max="1028" width="9.140625" style="1"/>
    <col min="1029" max="1029" width="10.5703125" style="1" customWidth="1"/>
    <col min="1030" max="1030" width="11.42578125" style="1" customWidth="1"/>
    <col min="1031" max="1031" width="12.85546875" style="1" customWidth="1"/>
    <col min="1032" max="1032" width="18.85546875" style="1" customWidth="1"/>
    <col min="1033" max="1033" width="12" style="1" customWidth="1"/>
    <col min="1034" max="1034" width="13" style="1" customWidth="1"/>
    <col min="1035" max="1035" width="15.140625" style="1" customWidth="1"/>
    <col min="1036" max="1281" width="9.140625" style="1"/>
    <col min="1282" max="1282" width="11" style="1" customWidth="1"/>
    <col min="1283" max="1283" width="11.140625" style="1" customWidth="1"/>
    <col min="1284" max="1284" width="9.140625" style="1"/>
    <col min="1285" max="1285" width="10.5703125" style="1" customWidth="1"/>
    <col min="1286" max="1286" width="11.42578125" style="1" customWidth="1"/>
    <col min="1287" max="1287" width="12.85546875" style="1" customWidth="1"/>
    <col min="1288" max="1288" width="18.85546875" style="1" customWidth="1"/>
    <col min="1289" max="1289" width="12" style="1" customWidth="1"/>
    <col min="1290" max="1290" width="13" style="1" customWidth="1"/>
    <col min="1291" max="1291" width="15.140625" style="1" customWidth="1"/>
    <col min="1292" max="1537" width="9.140625" style="1"/>
    <col min="1538" max="1538" width="11" style="1" customWidth="1"/>
    <col min="1539" max="1539" width="11.140625" style="1" customWidth="1"/>
    <col min="1540" max="1540" width="9.140625" style="1"/>
    <col min="1541" max="1541" width="10.5703125" style="1" customWidth="1"/>
    <col min="1542" max="1542" width="11.42578125" style="1" customWidth="1"/>
    <col min="1543" max="1543" width="12.85546875" style="1" customWidth="1"/>
    <col min="1544" max="1544" width="18.85546875" style="1" customWidth="1"/>
    <col min="1545" max="1545" width="12" style="1" customWidth="1"/>
    <col min="1546" max="1546" width="13" style="1" customWidth="1"/>
    <col min="1547" max="1547" width="15.140625" style="1" customWidth="1"/>
    <col min="1548" max="1793" width="9.140625" style="1"/>
    <col min="1794" max="1794" width="11" style="1" customWidth="1"/>
    <col min="1795" max="1795" width="11.140625" style="1" customWidth="1"/>
    <col min="1796" max="1796" width="9.140625" style="1"/>
    <col min="1797" max="1797" width="10.5703125" style="1" customWidth="1"/>
    <col min="1798" max="1798" width="11.42578125" style="1" customWidth="1"/>
    <col min="1799" max="1799" width="12.85546875" style="1" customWidth="1"/>
    <col min="1800" max="1800" width="18.85546875" style="1" customWidth="1"/>
    <col min="1801" max="1801" width="12" style="1" customWidth="1"/>
    <col min="1802" max="1802" width="13" style="1" customWidth="1"/>
    <col min="1803" max="1803" width="15.140625" style="1" customWidth="1"/>
    <col min="1804" max="2049" width="9.140625" style="1"/>
    <col min="2050" max="2050" width="11" style="1" customWidth="1"/>
    <col min="2051" max="2051" width="11.140625" style="1" customWidth="1"/>
    <col min="2052" max="2052" width="9.140625" style="1"/>
    <col min="2053" max="2053" width="10.5703125" style="1" customWidth="1"/>
    <col min="2054" max="2054" width="11.42578125" style="1" customWidth="1"/>
    <col min="2055" max="2055" width="12.85546875" style="1" customWidth="1"/>
    <col min="2056" max="2056" width="18.85546875" style="1" customWidth="1"/>
    <col min="2057" max="2057" width="12" style="1" customWidth="1"/>
    <col min="2058" max="2058" width="13" style="1" customWidth="1"/>
    <col min="2059" max="2059" width="15.140625" style="1" customWidth="1"/>
    <col min="2060" max="2305" width="9.140625" style="1"/>
    <col min="2306" max="2306" width="11" style="1" customWidth="1"/>
    <col min="2307" max="2307" width="11.140625" style="1" customWidth="1"/>
    <col min="2308" max="2308" width="9.140625" style="1"/>
    <col min="2309" max="2309" width="10.5703125" style="1" customWidth="1"/>
    <col min="2310" max="2310" width="11.42578125" style="1" customWidth="1"/>
    <col min="2311" max="2311" width="12.85546875" style="1" customWidth="1"/>
    <col min="2312" max="2312" width="18.85546875" style="1" customWidth="1"/>
    <col min="2313" max="2313" width="12" style="1" customWidth="1"/>
    <col min="2314" max="2314" width="13" style="1" customWidth="1"/>
    <col min="2315" max="2315" width="15.140625" style="1" customWidth="1"/>
    <col min="2316" max="2561" width="9.140625" style="1"/>
    <col min="2562" max="2562" width="11" style="1" customWidth="1"/>
    <col min="2563" max="2563" width="11.140625" style="1" customWidth="1"/>
    <col min="2564" max="2564" width="9.140625" style="1"/>
    <col min="2565" max="2565" width="10.5703125" style="1" customWidth="1"/>
    <col min="2566" max="2566" width="11.42578125" style="1" customWidth="1"/>
    <col min="2567" max="2567" width="12.85546875" style="1" customWidth="1"/>
    <col min="2568" max="2568" width="18.85546875" style="1" customWidth="1"/>
    <col min="2569" max="2569" width="12" style="1" customWidth="1"/>
    <col min="2570" max="2570" width="13" style="1" customWidth="1"/>
    <col min="2571" max="2571" width="15.140625" style="1" customWidth="1"/>
    <col min="2572" max="2817" width="9.140625" style="1"/>
    <col min="2818" max="2818" width="11" style="1" customWidth="1"/>
    <col min="2819" max="2819" width="11.140625" style="1" customWidth="1"/>
    <col min="2820" max="2820" width="9.140625" style="1"/>
    <col min="2821" max="2821" width="10.5703125" style="1" customWidth="1"/>
    <col min="2822" max="2822" width="11.42578125" style="1" customWidth="1"/>
    <col min="2823" max="2823" width="12.85546875" style="1" customWidth="1"/>
    <col min="2824" max="2824" width="18.85546875" style="1" customWidth="1"/>
    <col min="2825" max="2825" width="12" style="1" customWidth="1"/>
    <col min="2826" max="2826" width="13" style="1" customWidth="1"/>
    <col min="2827" max="2827" width="15.140625" style="1" customWidth="1"/>
    <col min="2828" max="3073" width="9.140625" style="1"/>
    <col min="3074" max="3074" width="11" style="1" customWidth="1"/>
    <col min="3075" max="3075" width="11.140625" style="1" customWidth="1"/>
    <col min="3076" max="3076" width="9.140625" style="1"/>
    <col min="3077" max="3077" width="10.5703125" style="1" customWidth="1"/>
    <col min="3078" max="3078" width="11.42578125" style="1" customWidth="1"/>
    <col min="3079" max="3079" width="12.85546875" style="1" customWidth="1"/>
    <col min="3080" max="3080" width="18.85546875" style="1" customWidth="1"/>
    <col min="3081" max="3081" width="12" style="1" customWidth="1"/>
    <col min="3082" max="3082" width="13" style="1" customWidth="1"/>
    <col min="3083" max="3083" width="15.140625" style="1" customWidth="1"/>
    <col min="3084" max="3329" width="9.140625" style="1"/>
    <col min="3330" max="3330" width="11" style="1" customWidth="1"/>
    <col min="3331" max="3331" width="11.140625" style="1" customWidth="1"/>
    <col min="3332" max="3332" width="9.140625" style="1"/>
    <col min="3333" max="3333" width="10.5703125" style="1" customWidth="1"/>
    <col min="3334" max="3334" width="11.42578125" style="1" customWidth="1"/>
    <col min="3335" max="3335" width="12.85546875" style="1" customWidth="1"/>
    <col min="3336" max="3336" width="18.85546875" style="1" customWidth="1"/>
    <col min="3337" max="3337" width="12" style="1" customWidth="1"/>
    <col min="3338" max="3338" width="13" style="1" customWidth="1"/>
    <col min="3339" max="3339" width="15.140625" style="1" customWidth="1"/>
    <col min="3340" max="3585" width="9.140625" style="1"/>
    <col min="3586" max="3586" width="11" style="1" customWidth="1"/>
    <col min="3587" max="3587" width="11.140625" style="1" customWidth="1"/>
    <col min="3588" max="3588" width="9.140625" style="1"/>
    <col min="3589" max="3589" width="10.5703125" style="1" customWidth="1"/>
    <col min="3590" max="3590" width="11.42578125" style="1" customWidth="1"/>
    <col min="3591" max="3591" width="12.85546875" style="1" customWidth="1"/>
    <col min="3592" max="3592" width="18.85546875" style="1" customWidth="1"/>
    <col min="3593" max="3593" width="12" style="1" customWidth="1"/>
    <col min="3594" max="3594" width="13" style="1" customWidth="1"/>
    <col min="3595" max="3595" width="15.140625" style="1" customWidth="1"/>
    <col min="3596" max="3841" width="9.140625" style="1"/>
    <col min="3842" max="3842" width="11" style="1" customWidth="1"/>
    <col min="3843" max="3843" width="11.140625" style="1" customWidth="1"/>
    <col min="3844" max="3844" width="9.140625" style="1"/>
    <col min="3845" max="3845" width="10.5703125" style="1" customWidth="1"/>
    <col min="3846" max="3846" width="11.42578125" style="1" customWidth="1"/>
    <col min="3847" max="3847" width="12.85546875" style="1" customWidth="1"/>
    <col min="3848" max="3848" width="18.85546875" style="1" customWidth="1"/>
    <col min="3849" max="3849" width="12" style="1" customWidth="1"/>
    <col min="3850" max="3850" width="13" style="1" customWidth="1"/>
    <col min="3851" max="3851" width="15.140625" style="1" customWidth="1"/>
    <col min="3852" max="4097" width="9.140625" style="1"/>
    <col min="4098" max="4098" width="11" style="1" customWidth="1"/>
    <col min="4099" max="4099" width="11.140625" style="1" customWidth="1"/>
    <col min="4100" max="4100" width="9.140625" style="1"/>
    <col min="4101" max="4101" width="10.5703125" style="1" customWidth="1"/>
    <col min="4102" max="4102" width="11.42578125" style="1" customWidth="1"/>
    <col min="4103" max="4103" width="12.85546875" style="1" customWidth="1"/>
    <col min="4104" max="4104" width="18.85546875" style="1" customWidth="1"/>
    <col min="4105" max="4105" width="12" style="1" customWidth="1"/>
    <col min="4106" max="4106" width="13" style="1" customWidth="1"/>
    <col min="4107" max="4107" width="15.140625" style="1" customWidth="1"/>
    <col min="4108" max="4353" width="9.140625" style="1"/>
    <col min="4354" max="4354" width="11" style="1" customWidth="1"/>
    <col min="4355" max="4355" width="11.140625" style="1" customWidth="1"/>
    <col min="4356" max="4356" width="9.140625" style="1"/>
    <col min="4357" max="4357" width="10.5703125" style="1" customWidth="1"/>
    <col min="4358" max="4358" width="11.42578125" style="1" customWidth="1"/>
    <col min="4359" max="4359" width="12.85546875" style="1" customWidth="1"/>
    <col min="4360" max="4360" width="18.85546875" style="1" customWidth="1"/>
    <col min="4361" max="4361" width="12" style="1" customWidth="1"/>
    <col min="4362" max="4362" width="13" style="1" customWidth="1"/>
    <col min="4363" max="4363" width="15.140625" style="1" customWidth="1"/>
    <col min="4364" max="4609" width="9.140625" style="1"/>
    <col min="4610" max="4610" width="11" style="1" customWidth="1"/>
    <col min="4611" max="4611" width="11.140625" style="1" customWidth="1"/>
    <col min="4612" max="4612" width="9.140625" style="1"/>
    <col min="4613" max="4613" width="10.5703125" style="1" customWidth="1"/>
    <col min="4614" max="4614" width="11.42578125" style="1" customWidth="1"/>
    <col min="4615" max="4615" width="12.85546875" style="1" customWidth="1"/>
    <col min="4616" max="4616" width="18.85546875" style="1" customWidth="1"/>
    <col min="4617" max="4617" width="12" style="1" customWidth="1"/>
    <col min="4618" max="4618" width="13" style="1" customWidth="1"/>
    <col min="4619" max="4619" width="15.140625" style="1" customWidth="1"/>
    <col min="4620" max="4865" width="9.140625" style="1"/>
    <col min="4866" max="4866" width="11" style="1" customWidth="1"/>
    <col min="4867" max="4867" width="11.140625" style="1" customWidth="1"/>
    <col min="4868" max="4868" width="9.140625" style="1"/>
    <col min="4869" max="4869" width="10.5703125" style="1" customWidth="1"/>
    <col min="4870" max="4870" width="11.42578125" style="1" customWidth="1"/>
    <col min="4871" max="4871" width="12.85546875" style="1" customWidth="1"/>
    <col min="4872" max="4872" width="18.85546875" style="1" customWidth="1"/>
    <col min="4873" max="4873" width="12" style="1" customWidth="1"/>
    <col min="4874" max="4874" width="13" style="1" customWidth="1"/>
    <col min="4875" max="4875" width="15.140625" style="1" customWidth="1"/>
    <col min="4876" max="5121" width="9.140625" style="1"/>
    <col min="5122" max="5122" width="11" style="1" customWidth="1"/>
    <col min="5123" max="5123" width="11.140625" style="1" customWidth="1"/>
    <col min="5124" max="5124" width="9.140625" style="1"/>
    <col min="5125" max="5125" width="10.5703125" style="1" customWidth="1"/>
    <col min="5126" max="5126" width="11.42578125" style="1" customWidth="1"/>
    <col min="5127" max="5127" width="12.85546875" style="1" customWidth="1"/>
    <col min="5128" max="5128" width="18.85546875" style="1" customWidth="1"/>
    <col min="5129" max="5129" width="12" style="1" customWidth="1"/>
    <col min="5130" max="5130" width="13" style="1" customWidth="1"/>
    <col min="5131" max="5131" width="15.140625" style="1" customWidth="1"/>
    <col min="5132" max="5377" width="9.140625" style="1"/>
    <col min="5378" max="5378" width="11" style="1" customWidth="1"/>
    <col min="5379" max="5379" width="11.140625" style="1" customWidth="1"/>
    <col min="5380" max="5380" width="9.140625" style="1"/>
    <col min="5381" max="5381" width="10.5703125" style="1" customWidth="1"/>
    <col min="5382" max="5382" width="11.42578125" style="1" customWidth="1"/>
    <col min="5383" max="5383" width="12.85546875" style="1" customWidth="1"/>
    <col min="5384" max="5384" width="18.85546875" style="1" customWidth="1"/>
    <col min="5385" max="5385" width="12" style="1" customWidth="1"/>
    <col min="5386" max="5386" width="13" style="1" customWidth="1"/>
    <col min="5387" max="5387" width="15.140625" style="1" customWidth="1"/>
    <col min="5388" max="5633" width="9.140625" style="1"/>
    <col min="5634" max="5634" width="11" style="1" customWidth="1"/>
    <col min="5635" max="5635" width="11.140625" style="1" customWidth="1"/>
    <col min="5636" max="5636" width="9.140625" style="1"/>
    <col min="5637" max="5637" width="10.5703125" style="1" customWidth="1"/>
    <col min="5638" max="5638" width="11.42578125" style="1" customWidth="1"/>
    <col min="5639" max="5639" width="12.85546875" style="1" customWidth="1"/>
    <col min="5640" max="5640" width="18.85546875" style="1" customWidth="1"/>
    <col min="5641" max="5641" width="12" style="1" customWidth="1"/>
    <col min="5642" max="5642" width="13" style="1" customWidth="1"/>
    <col min="5643" max="5643" width="15.140625" style="1" customWidth="1"/>
    <col min="5644" max="5889" width="9.140625" style="1"/>
    <col min="5890" max="5890" width="11" style="1" customWidth="1"/>
    <col min="5891" max="5891" width="11.140625" style="1" customWidth="1"/>
    <col min="5892" max="5892" width="9.140625" style="1"/>
    <col min="5893" max="5893" width="10.5703125" style="1" customWidth="1"/>
    <col min="5894" max="5894" width="11.42578125" style="1" customWidth="1"/>
    <col min="5895" max="5895" width="12.85546875" style="1" customWidth="1"/>
    <col min="5896" max="5896" width="18.85546875" style="1" customWidth="1"/>
    <col min="5897" max="5897" width="12" style="1" customWidth="1"/>
    <col min="5898" max="5898" width="13" style="1" customWidth="1"/>
    <col min="5899" max="5899" width="15.140625" style="1" customWidth="1"/>
    <col min="5900" max="6145" width="9.140625" style="1"/>
    <col min="6146" max="6146" width="11" style="1" customWidth="1"/>
    <col min="6147" max="6147" width="11.140625" style="1" customWidth="1"/>
    <col min="6148" max="6148" width="9.140625" style="1"/>
    <col min="6149" max="6149" width="10.5703125" style="1" customWidth="1"/>
    <col min="6150" max="6150" width="11.42578125" style="1" customWidth="1"/>
    <col min="6151" max="6151" width="12.85546875" style="1" customWidth="1"/>
    <col min="6152" max="6152" width="18.85546875" style="1" customWidth="1"/>
    <col min="6153" max="6153" width="12" style="1" customWidth="1"/>
    <col min="6154" max="6154" width="13" style="1" customWidth="1"/>
    <col min="6155" max="6155" width="15.140625" style="1" customWidth="1"/>
    <col min="6156" max="6401" width="9.140625" style="1"/>
    <col min="6402" max="6402" width="11" style="1" customWidth="1"/>
    <col min="6403" max="6403" width="11.140625" style="1" customWidth="1"/>
    <col min="6404" max="6404" width="9.140625" style="1"/>
    <col min="6405" max="6405" width="10.5703125" style="1" customWidth="1"/>
    <col min="6406" max="6406" width="11.42578125" style="1" customWidth="1"/>
    <col min="6407" max="6407" width="12.85546875" style="1" customWidth="1"/>
    <col min="6408" max="6408" width="18.85546875" style="1" customWidth="1"/>
    <col min="6409" max="6409" width="12" style="1" customWidth="1"/>
    <col min="6410" max="6410" width="13" style="1" customWidth="1"/>
    <col min="6411" max="6411" width="15.140625" style="1" customWidth="1"/>
    <col min="6412" max="6657" width="9.140625" style="1"/>
    <col min="6658" max="6658" width="11" style="1" customWidth="1"/>
    <col min="6659" max="6659" width="11.140625" style="1" customWidth="1"/>
    <col min="6660" max="6660" width="9.140625" style="1"/>
    <col min="6661" max="6661" width="10.5703125" style="1" customWidth="1"/>
    <col min="6662" max="6662" width="11.42578125" style="1" customWidth="1"/>
    <col min="6663" max="6663" width="12.85546875" style="1" customWidth="1"/>
    <col min="6664" max="6664" width="18.85546875" style="1" customWidth="1"/>
    <col min="6665" max="6665" width="12" style="1" customWidth="1"/>
    <col min="6666" max="6666" width="13" style="1" customWidth="1"/>
    <col min="6667" max="6667" width="15.140625" style="1" customWidth="1"/>
    <col min="6668" max="6913" width="9.140625" style="1"/>
    <col min="6914" max="6914" width="11" style="1" customWidth="1"/>
    <col min="6915" max="6915" width="11.140625" style="1" customWidth="1"/>
    <col min="6916" max="6916" width="9.140625" style="1"/>
    <col min="6917" max="6917" width="10.5703125" style="1" customWidth="1"/>
    <col min="6918" max="6918" width="11.42578125" style="1" customWidth="1"/>
    <col min="6919" max="6919" width="12.85546875" style="1" customWidth="1"/>
    <col min="6920" max="6920" width="18.85546875" style="1" customWidth="1"/>
    <col min="6921" max="6921" width="12" style="1" customWidth="1"/>
    <col min="6922" max="6922" width="13" style="1" customWidth="1"/>
    <col min="6923" max="6923" width="15.140625" style="1" customWidth="1"/>
    <col min="6924" max="7169" width="9.140625" style="1"/>
    <col min="7170" max="7170" width="11" style="1" customWidth="1"/>
    <col min="7171" max="7171" width="11.140625" style="1" customWidth="1"/>
    <col min="7172" max="7172" width="9.140625" style="1"/>
    <col min="7173" max="7173" width="10.5703125" style="1" customWidth="1"/>
    <col min="7174" max="7174" width="11.42578125" style="1" customWidth="1"/>
    <col min="7175" max="7175" width="12.85546875" style="1" customWidth="1"/>
    <col min="7176" max="7176" width="18.85546875" style="1" customWidth="1"/>
    <col min="7177" max="7177" width="12" style="1" customWidth="1"/>
    <col min="7178" max="7178" width="13" style="1" customWidth="1"/>
    <col min="7179" max="7179" width="15.140625" style="1" customWidth="1"/>
    <col min="7180" max="7425" width="9.140625" style="1"/>
    <col min="7426" max="7426" width="11" style="1" customWidth="1"/>
    <col min="7427" max="7427" width="11.140625" style="1" customWidth="1"/>
    <col min="7428" max="7428" width="9.140625" style="1"/>
    <col min="7429" max="7429" width="10.5703125" style="1" customWidth="1"/>
    <col min="7430" max="7430" width="11.42578125" style="1" customWidth="1"/>
    <col min="7431" max="7431" width="12.85546875" style="1" customWidth="1"/>
    <col min="7432" max="7432" width="18.85546875" style="1" customWidth="1"/>
    <col min="7433" max="7433" width="12" style="1" customWidth="1"/>
    <col min="7434" max="7434" width="13" style="1" customWidth="1"/>
    <col min="7435" max="7435" width="15.140625" style="1" customWidth="1"/>
    <col min="7436" max="7681" width="9.140625" style="1"/>
    <col min="7682" max="7682" width="11" style="1" customWidth="1"/>
    <col min="7683" max="7683" width="11.140625" style="1" customWidth="1"/>
    <col min="7684" max="7684" width="9.140625" style="1"/>
    <col min="7685" max="7685" width="10.5703125" style="1" customWidth="1"/>
    <col min="7686" max="7686" width="11.42578125" style="1" customWidth="1"/>
    <col min="7687" max="7687" width="12.85546875" style="1" customWidth="1"/>
    <col min="7688" max="7688" width="18.85546875" style="1" customWidth="1"/>
    <col min="7689" max="7689" width="12" style="1" customWidth="1"/>
    <col min="7690" max="7690" width="13" style="1" customWidth="1"/>
    <col min="7691" max="7691" width="15.140625" style="1" customWidth="1"/>
    <col min="7692" max="7937" width="9.140625" style="1"/>
    <col min="7938" max="7938" width="11" style="1" customWidth="1"/>
    <col min="7939" max="7939" width="11.140625" style="1" customWidth="1"/>
    <col min="7940" max="7940" width="9.140625" style="1"/>
    <col min="7941" max="7941" width="10.5703125" style="1" customWidth="1"/>
    <col min="7942" max="7942" width="11.42578125" style="1" customWidth="1"/>
    <col min="7943" max="7943" width="12.85546875" style="1" customWidth="1"/>
    <col min="7944" max="7944" width="18.85546875" style="1" customWidth="1"/>
    <col min="7945" max="7945" width="12" style="1" customWidth="1"/>
    <col min="7946" max="7946" width="13" style="1" customWidth="1"/>
    <col min="7947" max="7947" width="15.140625" style="1" customWidth="1"/>
    <col min="7948" max="8193" width="9.140625" style="1"/>
    <col min="8194" max="8194" width="11" style="1" customWidth="1"/>
    <col min="8195" max="8195" width="11.140625" style="1" customWidth="1"/>
    <col min="8196" max="8196" width="9.140625" style="1"/>
    <col min="8197" max="8197" width="10.5703125" style="1" customWidth="1"/>
    <col min="8198" max="8198" width="11.42578125" style="1" customWidth="1"/>
    <col min="8199" max="8199" width="12.85546875" style="1" customWidth="1"/>
    <col min="8200" max="8200" width="18.85546875" style="1" customWidth="1"/>
    <col min="8201" max="8201" width="12" style="1" customWidth="1"/>
    <col min="8202" max="8202" width="13" style="1" customWidth="1"/>
    <col min="8203" max="8203" width="15.140625" style="1" customWidth="1"/>
    <col min="8204" max="8449" width="9.140625" style="1"/>
    <col min="8450" max="8450" width="11" style="1" customWidth="1"/>
    <col min="8451" max="8451" width="11.140625" style="1" customWidth="1"/>
    <col min="8452" max="8452" width="9.140625" style="1"/>
    <col min="8453" max="8453" width="10.5703125" style="1" customWidth="1"/>
    <col min="8454" max="8454" width="11.42578125" style="1" customWidth="1"/>
    <col min="8455" max="8455" width="12.85546875" style="1" customWidth="1"/>
    <col min="8456" max="8456" width="18.85546875" style="1" customWidth="1"/>
    <col min="8457" max="8457" width="12" style="1" customWidth="1"/>
    <col min="8458" max="8458" width="13" style="1" customWidth="1"/>
    <col min="8459" max="8459" width="15.140625" style="1" customWidth="1"/>
    <col min="8460" max="8705" width="9.140625" style="1"/>
    <col min="8706" max="8706" width="11" style="1" customWidth="1"/>
    <col min="8707" max="8707" width="11.140625" style="1" customWidth="1"/>
    <col min="8708" max="8708" width="9.140625" style="1"/>
    <col min="8709" max="8709" width="10.5703125" style="1" customWidth="1"/>
    <col min="8710" max="8710" width="11.42578125" style="1" customWidth="1"/>
    <col min="8711" max="8711" width="12.85546875" style="1" customWidth="1"/>
    <col min="8712" max="8712" width="18.85546875" style="1" customWidth="1"/>
    <col min="8713" max="8713" width="12" style="1" customWidth="1"/>
    <col min="8714" max="8714" width="13" style="1" customWidth="1"/>
    <col min="8715" max="8715" width="15.140625" style="1" customWidth="1"/>
    <col min="8716" max="8961" width="9.140625" style="1"/>
    <col min="8962" max="8962" width="11" style="1" customWidth="1"/>
    <col min="8963" max="8963" width="11.140625" style="1" customWidth="1"/>
    <col min="8964" max="8964" width="9.140625" style="1"/>
    <col min="8965" max="8965" width="10.5703125" style="1" customWidth="1"/>
    <col min="8966" max="8966" width="11.42578125" style="1" customWidth="1"/>
    <col min="8967" max="8967" width="12.85546875" style="1" customWidth="1"/>
    <col min="8968" max="8968" width="18.85546875" style="1" customWidth="1"/>
    <col min="8969" max="8969" width="12" style="1" customWidth="1"/>
    <col min="8970" max="8970" width="13" style="1" customWidth="1"/>
    <col min="8971" max="8971" width="15.140625" style="1" customWidth="1"/>
    <col min="8972" max="9217" width="9.140625" style="1"/>
    <col min="9218" max="9218" width="11" style="1" customWidth="1"/>
    <col min="9219" max="9219" width="11.140625" style="1" customWidth="1"/>
    <col min="9220" max="9220" width="9.140625" style="1"/>
    <col min="9221" max="9221" width="10.5703125" style="1" customWidth="1"/>
    <col min="9222" max="9222" width="11.42578125" style="1" customWidth="1"/>
    <col min="9223" max="9223" width="12.85546875" style="1" customWidth="1"/>
    <col min="9224" max="9224" width="18.85546875" style="1" customWidth="1"/>
    <col min="9225" max="9225" width="12" style="1" customWidth="1"/>
    <col min="9226" max="9226" width="13" style="1" customWidth="1"/>
    <col min="9227" max="9227" width="15.140625" style="1" customWidth="1"/>
    <col min="9228" max="9473" width="9.140625" style="1"/>
    <col min="9474" max="9474" width="11" style="1" customWidth="1"/>
    <col min="9475" max="9475" width="11.140625" style="1" customWidth="1"/>
    <col min="9476" max="9476" width="9.140625" style="1"/>
    <col min="9477" max="9477" width="10.5703125" style="1" customWidth="1"/>
    <col min="9478" max="9478" width="11.42578125" style="1" customWidth="1"/>
    <col min="9479" max="9479" width="12.85546875" style="1" customWidth="1"/>
    <col min="9480" max="9480" width="18.85546875" style="1" customWidth="1"/>
    <col min="9481" max="9481" width="12" style="1" customWidth="1"/>
    <col min="9482" max="9482" width="13" style="1" customWidth="1"/>
    <col min="9483" max="9483" width="15.140625" style="1" customWidth="1"/>
    <col min="9484" max="9729" width="9.140625" style="1"/>
    <col min="9730" max="9730" width="11" style="1" customWidth="1"/>
    <col min="9731" max="9731" width="11.140625" style="1" customWidth="1"/>
    <col min="9732" max="9732" width="9.140625" style="1"/>
    <col min="9733" max="9733" width="10.5703125" style="1" customWidth="1"/>
    <col min="9734" max="9734" width="11.42578125" style="1" customWidth="1"/>
    <col min="9735" max="9735" width="12.85546875" style="1" customWidth="1"/>
    <col min="9736" max="9736" width="18.85546875" style="1" customWidth="1"/>
    <col min="9737" max="9737" width="12" style="1" customWidth="1"/>
    <col min="9738" max="9738" width="13" style="1" customWidth="1"/>
    <col min="9739" max="9739" width="15.140625" style="1" customWidth="1"/>
    <col min="9740" max="9985" width="9.140625" style="1"/>
    <col min="9986" max="9986" width="11" style="1" customWidth="1"/>
    <col min="9987" max="9987" width="11.140625" style="1" customWidth="1"/>
    <col min="9988" max="9988" width="9.140625" style="1"/>
    <col min="9989" max="9989" width="10.5703125" style="1" customWidth="1"/>
    <col min="9990" max="9990" width="11.42578125" style="1" customWidth="1"/>
    <col min="9991" max="9991" width="12.85546875" style="1" customWidth="1"/>
    <col min="9992" max="9992" width="18.85546875" style="1" customWidth="1"/>
    <col min="9993" max="9993" width="12" style="1" customWidth="1"/>
    <col min="9994" max="9994" width="13" style="1" customWidth="1"/>
    <col min="9995" max="9995" width="15.140625" style="1" customWidth="1"/>
    <col min="9996" max="10241" width="9.140625" style="1"/>
    <col min="10242" max="10242" width="11" style="1" customWidth="1"/>
    <col min="10243" max="10243" width="11.140625" style="1" customWidth="1"/>
    <col min="10244" max="10244" width="9.140625" style="1"/>
    <col min="10245" max="10245" width="10.5703125" style="1" customWidth="1"/>
    <col min="10246" max="10246" width="11.42578125" style="1" customWidth="1"/>
    <col min="10247" max="10247" width="12.85546875" style="1" customWidth="1"/>
    <col min="10248" max="10248" width="18.85546875" style="1" customWidth="1"/>
    <col min="10249" max="10249" width="12" style="1" customWidth="1"/>
    <col min="10250" max="10250" width="13" style="1" customWidth="1"/>
    <col min="10251" max="10251" width="15.140625" style="1" customWidth="1"/>
    <col min="10252" max="10497" width="9.140625" style="1"/>
    <col min="10498" max="10498" width="11" style="1" customWidth="1"/>
    <col min="10499" max="10499" width="11.140625" style="1" customWidth="1"/>
    <col min="10500" max="10500" width="9.140625" style="1"/>
    <col min="10501" max="10501" width="10.5703125" style="1" customWidth="1"/>
    <col min="10502" max="10502" width="11.42578125" style="1" customWidth="1"/>
    <col min="10503" max="10503" width="12.85546875" style="1" customWidth="1"/>
    <col min="10504" max="10504" width="18.85546875" style="1" customWidth="1"/>
    <col min="10505" max="10505" width="12" style="1" customWidth="1"/>
    <col min="10506" max="10506" width="13" style="1" customWidth="1"/>
    <col min="10507" max="10507" width="15.140625" style="1" customWidth="1"/>
    <col min="10508" max="10753" width="9.140625" style="1"/>
    <col min="10754" max="10754" width="11" style="1" customWidth="1"/>
    <col min="10755" max="10755" width="11.140625" style="1" customWidth="1"/>
    <col min="10756" max="10756" width="9.140625" style="1"/>
    <col min="10757" max="10757" width="10.5703125" style="1" customWidth="1"/>
    <col min="10758" max="10758" width="11.42578125" style="1" customWidth="1"/>
    <col min="10759" max="10759" width="12.85546875" style="1" customWidth="1"/>
    <col min="10760" max="10760" width="18.85546875" style="1" customWidth="1"/>
    <col min="10761" max="10761" width="12" style="1" customWidth="1"/>
    <col min="10762" max="10762" width="13" style="1" customWidth="1"/>
    <col min="10763" max="10763" width="15.140625" style="1" customWidth="1"/>
    <col min="10764" max="11009" width="9.140625" style="1"/>
    <col min="11010" max="11010" width="11" style="1" customWidth="1"/>
    <col min="11011" max="11011" width="11.140625" style="1" customWidth="1"/>
    <col min="11012" max="11012" width="9.140625" style="1"/>
    <col min="11013" max="11013" width="10.5703125" style="1" customWidth="1"/>
    <col min="11014" max="11014" width="11.42578125" style="1" customWidth="1"/>
    <col min="11015" max="11015" width="12.85546875" style="1" customWidth="1"/>
    <col min="11016" max="11016" width="18.85546875" style="1" customWidth="1"/>
    <col min="11017" max="11017" width="12" style="1" customWidth="1"/>
    <col min="11018" max="11018" width="13" style="1" customWidth="1"/>
    <col min="11019" max="11019" width="15.140625" style="1" customWidth="1"/>
    <col min="11020" max="11265" width="9.140625" style="1"/>
    <col min="11266" max="11266" width="11" style="1" customWidth="1"/>
    <col min="11267" max="11267" width="11.140625" style="1" customWidth="1"/>
    <col min="11268" max="11268" width="9.140625" style="1"/>
    <col min="11269" max="11269" width="10.5703125" style="1" customWidth="1"/>
    <col min="11270" max="11270" width="11.42578125" style="1" customWidth="1"/>
    <col min="11271" max="11271" width="12.85546875" style="1" customWidth="1"/>
    <col min="11272" max="11272" width="18.85546875" style="1" customWidth="1"/>
    <col min="11273" max="11273" width="12" style="1" customWidth="1"/>
    <col min="11274" max="11274" width="13" style="1" customWidth="1"/>
    <col min="11275" max="11275" width="15.140625" style="1" customWidth="1"/>
    <col min="11276" max="11521" width="9.140625" style="1"/>
    <col min="11522" max="11522" width="11" style="1" customWidth="1"/>
    <col min="11523" max="11523" width="11.140625" style="1" customWidth="1"/>
    <col min="11524" max="11524" width="9.140625" style="1"/>
    <col min="11525" max="11525" width="10.5703125" style="1" customWidth="1"/>
    <col min="11526" max="11526" width="11.42578125" style="1" customWidth="1"/>
    <col min="11527" max="11527" width="12.85546875" style="1" customWidth="1"/>
    <col min="11528" max="11528" width="18.85546875" style="1" customWidth="1"/>
    <col min="11529" max="11529" width="12" style="1" customWidth="1"/>
    <col min="11530" max="11530" width="13" style="1" customWidth="1"/>
    <col min="11531" max="11531" width="15.140625" style="1" customWidth="1"/>
    <col min="11532" max="11777" width="9.140625" style="1"/>
    <col min="11778" max="11778" width="11" style="1" customWidth="1"/>
    <col min="11779" max="11779" width="11.140625" style="1" customWidth="1"/>
    <col min="11780" max="11780" width="9.140625" style="1"/>
    <col min="11781" max="11781" width="10.5703125" style="1" customWidth="1"/>
    <col min="11782" max="11782" width="11.42578125" style="1" customWidth="1"/>
    <col min="11783" max="11783" width="12.85546875" style="1" customWidth="1"/>
    <col min="11784" max="11784" width="18.85546875" style="1" customWidth="1"/>
    <col min="11785" max="11785" width="12" style="1" customWidth="1"/>
    <col min="11786" max="11786" width="13" style="1" customWidth="1"/>
    <col min="11787" max="11787" width="15.140625" style="1" customWidth="1"/>
    <col min="11788" max="12033" width="9.140625" style="1"/>
    <col min="12034" max="12034" width="11" style="1" customWidth="1"/>
    <col min="12035" max="12035" width="11.140625" style="1" customWidth="1"/>
    <col min="12036" max="12036" width="9.140625" style="1"/>
    <col min="12037" max="12037" width="10.5703125" style="1" customWidth="1"/>
    <col min="12038" max="12038" width="11.42578125" style="1" customWidth="1"/>
    <col min="12039" max="12039" width="12.85546875" style="1" customWidth="1"/>
    <col min="12040" max="12040" width="18.85546875" style="1" customWidth="1"/>
    <col min="12041" max="12041" width="12" style="1" customWidth="1"/>
    <col min="12042" max="12042" width="13" style="1" customWidth="1"/>
    <col min="12043" max="12043" width="15.140625" style="1" customWidth="1"/>
    <col min="12044" max="12289" width="9.140625" style="1"/>
    <col min="12290" max="12290" width="11" style="1" customWidth="1"/>
    <col min="12291" max="12291" width="11.140625" style="1" customWidth="1"/>
    <col min="12292" max="12292" width="9.140625" style="1"/>
    <col min="12293" max="12293" width="10.5703125" style="1" customWidth="1"/>
    <col min="12294" max="12294" width="11.42578125" style="1" customWidth="1"/>
    <col min="12295" max="12295" width="12.85546875" style="1" customWidth="1"/>
    <col min="12296" max="12296" width="18.85546875" style="1" customWidth="1"/>
    <col min="12297" max="12297" width="12" style="1" customWidth="1"/>
    <col min="12298" max="12298" width="13" style="1" customWidth="1"/>
    <col min="12299" max="12299" width="15.140625" style="1" customWidth="1"/>
    <col min="12300" max="12545" width="9.140625" style="1"/>
    <col min="12546" max="12546" width="11" style="1" customWidth="1"/>
    <col min="12547" max="12547" width="11.140625" style="1" customWidth="1"/>
    <col min="12548" max="12548" width="9.140625" style="1"/>
    <col min="12549" max="12549" width="10.5703125" style="1" customWidth="1"/>
    <col min="12550" max="12550" width="11.42578125" style="1" customWidth="1"/>
    <col min="12551" max="12551" width="12.85546875" style="1" customWidth="1"/>
    <col min="12552" max="12552" width="18.85546875" style="1" customWidth="1"/>
    <col min="12553" max="12553" width="12" style="1" customWidth="1"/>
    <col min="12554" max="12554" width="13" style="1" customWidth="1"/>
    <col min="12555" max="12555" width="15.140625" style="1" customWidth="1"/>
    <col min="12556" max="12801" width="9.140625" style="1"/>
    <col min="12802" max="12802" width="11" style="1" customWidth="1"/>
    <col min="12803" max="12803" width="11.140625" style="1" customWidth="1"/>
    <col min="12804" max="12804" width="9.140625" style="1"/>
    <col min="12805" max="12805" width="10.5703125" style="1" customWidth="1"/>
    <col min="12806" max="12806" width="11.42578125" style="1" customWidth="1"/>
    <col min="12807" max="12807" width="12.85546875" style="1" customWidth="1"/>
    <col min="12808" max="12808" width="18.85546875" style="1" customWidth="1"/>
    <col min="12809" max="12809" width="12" style="1" customWidth="1"/>
    <col min="12810" max="12810" width="13" style="1" customWidth="1"/>
    <col min="12811" max="12811" width="15.140625" style="1" customWidth="1"/>
    <col min="12812" max="13057" width="9.140625" style="1"/>
    <col min="13058" max="13058" width="11" style="1" customWidth="1"/>
    <col min="13059" max="13059" width="11.140625" style="1" customWidth="1"/>
    <col min="13060" max="13060" width="9.140625" style="1"/>
    <col min="13061" max="13061" width="10.5703125" style="1" customWidth="1"/>
    <col min="13062" max="13062" width="11.42578125" style="1" customWidth="1"/>
    <col min="13063" max="13063" width="12.85546875" style="1" customWidth="1"/>
    <col min="13064" max="13064" width="18.85546875" style="1" customWidth="1"/>
    <col min="13065" max="13065" width="12" style="1" customWidth="1"/>
    <col min="13066" max="13066" width="13" style="1" customWidth="1"/>
    <col min="13067" max="13067" width="15.140625" style="1" customWidth="1"/>
    <col min="13068" max="13313" width="9.140625" style="1"/>
    <col min="13314" max="13314" width="11" style="1" customWidth="1"/>
    <col min="13315" max="13315" width="11.140625" style="1" customWidth="1"/>
    <col min="13316" max="13316" width="9.140625" style="1"/>
    <col min="13317" max="13317" width="10.5703125" style="1" customWidth="1"/>
    <col min="13318" max="13318" width="11.42578125" style="1" customWidth="1"/>
    <col min="13319" max="13319" width="12.85546875" style="1" customWidth="1"/>
    <col min="13320" max="13320" width="18.85546875" style="1" customWidth="1"/>
    <col min="13321" max="13321" width="12" style="1" customWidth="1"/>
    <col min="13322" max="13322" width="13" style="1" customWidth="1"/>
    <col min="13323" max="13323" width="15.140625" style="1" customWidth="1"/>
    <col min="13324" max="13569" width="9.140625" style="1"/>
    <col min="13570" max="13570" width="11" style="1" customWidth="1"/>
    <col min="13571" max="13571" width="11.140625" style="1" customWidth="1"/>
    <col min="13572" max="13572" width="9.140625" style="1"/>
    <col min="13573" max="13573" width="10.5703125" style="1" customWidth="1"/>
    <col min="13574" max="13574" width="11.42578125" style="1" customWidth="1"/>
    <col min="13575" max="13575" width="12.85546875" style="1" customWidth="1"/>
    <col min="13576" max="13576" width="18.85546875" style="1" customWidth="1"/>
    <col min="13577" max="13577" width="12" style="1" customWidth="1"/>
    <col min="13578" max="13578" width="13" style="1" customWidth="1"/>
    <col min="13579" max="13579" width="15.140625" style="1" customWidth="1"/>
    <col min="13580" max="13825" width="9.140625" style="1"/>
    <col min="13826" max="13826" width="11" style="1" customWidth="1"/>
    <col min="13827" max="13827" width="11.140625" style="1" customWidth="1"/>
    <col min="13828" max="13828" width="9.140625" style="1"/>
    <col min="13829" max="13829" width="10.5703125" style="1" customWidth="1"/>
    <col min="13830" max="13830" width="11.42578125" style="1" customWidth="1"/>
    <col min="13831" max="13831" width="12.85546875" style="1" customWidth="1"/>
    <col min="13832" max="13832" width="18.85546875" style="1" customWidth="1"/>
    <col min="13833" max="13833" width="12" style="1" customWidth="1"/>
    <col min="13834" max="13834" width="13" style="1" customWidth="1"/>
    <col min="13835" max="13835" width="15.140625" style="1" customWidth="1"/>
    <col min="13836" max="14081" width="9.140625" style="1"/>
    <col min="14082" max="14082" width="11" style="1" customWidth="1"/>
    <col min="14083" max="14083" width="11.140625" style="1" customWidth="1"/>
    <col min="14084" max="14084" width="9.140625" style="1"/>
    <col min="14085" max="14085" width="10.5703125" style="1" customWidth="1"/>
    <col min="14086" max="14086" width="11.42578125" style="1" customWidth="1"/>
    <col min="14087" max="14087" width="12.85546875" style="1" customWidth="1"/>
    <col min="14088" max="14088" width="18.85546875" style="1" customWidth="1"/>
    <col min="14089" max="14089" width="12" style="1" customWidth="1"/>
    <col min="14090" max="14090" width="13" style="1" customWidth="1"/>
    <col min="14091" max="14091" width="15.140625" style="1" customWidth="1"/>
    <col min="14092" max="14337" width="9.140625" style="1"/>
    <col min="14338" max="14338" width="11" style="1" customWidth="1"/>
    <col min="14339" max="14339" width="11.140625" style="1" customWidth="1"/>
    <col min="14340" max="14340" width="9.140625" style="1"/>
    <col min="14341" max="14341" width="10.5703125" style="1" customWidth="1"/>
    <col min="14342" max="14342" width="11.42578125" style="1" customWidth="1"/>
    <col min="14343" max="14343" width="12.85546875" style="1" customWidth="1"/>
    <col min="14344" max="14344" width="18.85546875" style="1" customWidth="1"/>
    <col min="14345" max="14345" width="12" style="1" customWidth="1"/>
    <col min="14346" max="14346" width="13" style="1" customWidth="1"/>
    <col min="14347" max="14347" width="15.140625" style="1" customWidth="1"/>
    <col min="14348" max="14593" width="9.140625" style="1"/>
    <col min="14594" max="14594" width="11" style="1" customWidth="1"/>
    <col min="14595" max="14595" width="11.140625" style="1" customWidth="1"/>
    <col min="14596" max="14596" width="9.140625" style="1"/>
    <col min="14597" max="14597" width="10.5703125" style="1" customWidth="1"/>
    <col min="14598" max="14598" width="11.42578125" style="1" customWidth="1"/>
    <col min="14599" max="14599" width="12.85546875" style="1" customWidth="1"/>
    <col min="14600" max="14600" width="18.85546875" style="1" customWidth="1"/>
    <col min="14601" max="14601" width="12" style="1" customWidth="1"/>
    <col min="14602" max="14602" width="13" style="1" customWidth="1"/>
    <col min="14603" max="14603" width="15.140625" style="1" customWidth="1"/>
    <col min="14604" max="14849" width="9.140625" style="1"/>
    <col min="14850" max="14850" width="11" style="1" customWidth="1"/>
    <col min="14851" max="14851" width="11.140625" style="1" customWidth="1"/>
    <col min="14852" max="14852" width="9.140625" style="1"/>
    <col min="14853" max="14853" width="10.5703125" style="1" customWidth="1"/>
    <col min="14854" max="14854" width="11.42578125" style="1" customWidth="1"/>
    <col min="14855" max="14855" width="12.85546875" style="1" customWidth="1"/>
    <col min="14856" max="14856" width="18.85546875" style="1" customWidth="1"/>
    <col min="14857" max="14857" width="12" style="1" customWidth="1"/>
    <col min="14858" max="14858" width="13" style="1" customWidth="1"/>
    <col min="14859" max="14859" width="15.140625" style="1" customWidth="1"/>
    <col min="14860" max="15105" width="9.140625" style="1"/>
    <col min="15106" max="15106" width="11" style="1" customWidth="1"/>
    <col min="15107" max="15107" width="11.140625" style="1" customWidth="1"/>
    <col min="15108" max="15108" width="9.140625" style="1"/>
    <col min="15109" max="15109" width="10.5703125" style="1" customWidth="1"/>
    <col min="15110" max="15110" width="11.42578125" style="1" customWidth="1"/>
    <col min="15111" max="15111" width="12.85546875" style="1" customWidth="1"/>
    <col min="15112" max="15112" width="18.85546875" style="1" customWidth="1"/>
    <col min="15113" max="15113" width="12" style="1" customWidth="1"/>
    <col min="15114" max="15114" width="13" style="1" customWidth="1"/>
    <col min="15115" max="15115" width="15.140625" style="1" customWidth="1"/>
    <col min="15116" max="15361" width="9.140625" style="1"/>
    <col min="15362" max="15362" width="11" style="1" customWidth="1"/>
    <col min="15363" max="15363" width="11.140625" style="1" customWidth="1"/>
    <col min="15364" max="15364" width="9.140625" style="1"/>
    <col min="15365" max="15365" width="10.5703125" style="1" customWidth="1"/>
    <col min="15366" max="15366" width="11.42578125" style="1" customWidth="1"/>
    <col min="15367" max="15367" width="12.85546875" style="1" customWidth="1"/>
    <col min="15368" max="15368" width="18.85546875" style="1" customWidth="1"/>
    <col min="15369" max="15369" width="12" style="1" customWidth="1"/>
    <col min="15370" max="15370" width="13" style="1" customWidth="1"/>
    <col min="15371" max="15371" width="15.140625" style="1" customWidth="1"/>
    <col min="15372" max="15617" width="9.140625" style="1"/>
    <col min="15618" max="15618" width="11" style="1" customWidth="1"/>
    <col min="15619" max="15619" width="11.140625" style="1" customWidth="1"/>
    <col min="15620" max="15620" width="9.140625" style="1"/>
    <col min="15621" max="15621" width="10.5703125" style="1" customWidth="1"/>
    <col min="15622" max="15622" width="11.42578125" style="1" customWidth="1"/>
    <col min="15623" max="15623" width="12.85546875" style="1" customWidth="1"/>
    <col min="15624" max="15624" width="18.85546875" style="1" customWidth="1"/>
    <col min="15625" max="15625" width="12" style="1" customWidth="1"/>
    <col min="15626" max="15626" width="13" style="1" customWidth="1"/>
    <col min="15627" max="15627" width="15.140625" style="1" customWidth="1"/>
    <col min="15628" max="15873" width="9.140625" style="1"/>
    <col min="15874" max="15874" width="11" style="1" customWidth="1"/>
    <col min="15875" max="15875" width="11.140625" style="1" customWidth="1"/>
    <col min="15876" max="15876" width="9.140625" style="1"/>
    <col min="15877" max="15877" width="10.5703125" style="1" customWidth="1"/>
    <col min="15878" max="15878" width="11.42578125" style="1" customWidth="1"/>
    <col min="15879" max="15879" width="12.85546875" style="1" customWidth="1"/>
    <col min="15880" max="15880" width="18.85546875" style="1" customWidth="1"/>
    <col min="15881" max="15881" width="12" style="1" customWidth="1"/>
    <col min="15882" max="15882" width="13" style="1" customWidth="1"/>
    <col min="15883" max="15883" width="15.140625" style="1" customWidth="1"/>
    <col min="15884" max="16129" width="9.140625" style="1"/>
    <col min="16130" max="16130" width="11" style="1" customWidth="1"/>
    <col min="16131" max="16131" width="11.140625" style="1" customWidth="1"/>
    <col min="16132" max="16132" width="9.140625" style="1"/>
    <col min="16133" max="16133" width="10.5703125" style="1" customWidth="1"/>
    <col min="16134" max="16134" width="11.42578125" style="1" customWidth="1"/>
    <col min="16135" max="16135" width="12.85546875" style="1" customWidth="1"/>
    <col min="16136" max="16136" width="18.85546875" style="1" customWidth="1"/>
    <col min="16137" max="16137" width="12" style="1" customWidth="1"/>
    <col min="16138" max="16138" width="13" style="1" customWidth="1"/>
    <col min="16139" max="16139" width="15.140625" style="1" customWidth="1"/>
    <col min="16140" max="16384" width="9.140625" style="1"/>
  </cols>
  <sheetData>
    <row r="1" spans="1:11" ht="57.75" customHeight="1">
      <c r="A1" s="1641"/>
      <c r="B1" s="1641"/>
      <c r="C1" s="1642"/>
      <c r="D1" s="1641"/>
      <c r="E1" s="1641"/>
      <c r="F1" s="1641"/>
      <c r="G1" s="1728" t="s">
        <v>1067</v>
      </c>
      <c r="H1" s="1728"/>
      <c r="I1" s="1728"/>
      <c r="J1" s="1728"/>
      <c r="K1" s="1728"/>
    </row>
    <row r="2" spans="1:11" ht="59.25" customHeight="1">
      <c r="A2" s="1618" t="s">
        <v>134</v>
      </c>
      <c r="B2" s="1618"/>
      <c r="C2" s="1618"/>
      <c r="D2" s="1618"/>
      <c r="E2" s="1618"/>
      <c r="F2" s="1618"/>
      <c r="G2" s="1618"/>
      <c r="H2" s="1618"/>
      <c r="I2" s="1618"/>
      <c r="J2" s="1618"/>
      <c r="K2" s="1618"/>
    </row>
    <row r="3" spans="1:11" ht="19.5" customHeight="1">
      <c r="A3" s="198"/>
      <c r="B3" s="198"/>
      <c r="C3" s="198"/>
      <c r="D3" s="198"/>
      <c r="E3" s="198"/>
      <c r="F3" s="11"/>
      <c r="G3" s="11"/>
      <c r="H3" s="11"/>
      <c r="I3" s="11"/>
      <c r="J3" s="11"/>
      <c r="K3" s="197" t="s">
        <v>45</v>
      </c>
    </row>
    <row r="4" spans="1:11" ht="38.25" customHeight="1" thickBot="1">
      <c r="A4" s="1729" t="s">
        <v>133</v>
      </c>
      <c r="B4" s="1729"/>
      <c r="C4" s="1729"/>
      <c r="D4" s="1729"/>
      <c r="E4" s="1729"/>
      <c r="F4" s="1729"/>
      <c r="G4" s="1729"/>
      <c r="H4" s="1729"/>
      <c r="I4" s="1729"/>
      <c r="J4" s="1729"/>
      <c r="K4" s="1729"/>
    </row>
    <row r="5" spans="1:11" ht="23.25" customHeight="1" thickBot="1">
      <c r="A5" s="132" t="s">
        <v>0</v>
      </c>
      <c r="B5" s="5" t="s">
        <v>132</v>
      </c>
      <c r="C5" s="132" t="s">
        <v>8</v>
      </c>
      <c r="D5" s="1730" t="s">
        <v>119</v>
      </c>
      <c r="E5" s="1731"/>
      <c r="F5" s="1731"/>
      <c r="G5" s="1731"/>
      <c r="H5" s="1731"/>
      <c r="I5" s="1732"/>
      <c r="J5" s="1733" t="s">
        <v>131</v>
      </c>
      <c r="K5" s="1734"/>
    </row>
    <row r="6" spans="1:11" ht="15">
      <c r="A6" s="1702" t="s">
        <v>22</v>
      </c>
      <c r="B6" s="1705" t="s">
        <v>41</v>
      </c>
      <c r="C6" s="1706"/>
      <c r="D6" s="1706"/>
      <c r="E6" s="1706"/>
      <c r="F6" s="1706"/>
      <c r="G6" s="1706"/>
      <c r="H6" s="1706"/>
      <c r="I6" s="1707"/>
      <c r="J6" s="1708">
        <f>SUM(J7)</f>
        <v>3023870</v>
      </c>
      <c r="K6" s="1709"/>
    </row>
    <row r="7" spans="1:11" ht="14.25">
      <c r="A7" s="1703"/>
      <c r="B7" s="1710" t="s">
        <v>23</v>
      </c>
      <c r="C7" s="1713" t="s">
        <v>24</v>
      </c>
      <c r="D7" s="1714"/>
      <c r="E7" s="1714"/>
      <c r="F7" s="1714"/>
      <c r="G7" s="1714"/>
      <c r="H7" s="1714"/>
      <c r="I7" s="1715"/>
      <c r="J7" s="1716">
        <f>SUM(J8:K9)</f>
        <v>3023870</v>
      </c>
      <c r="K7" s="1717"/>
    </row>
    <row r="8" spans="1:11" ht="15">
      <c r="A8" s="1703"/>
      <c r="B8" s="1711"/>
      <c r="C8" s="196">
        <v>2310</v>
      </c>
      <c r="D8" s="1718"/>
      <c r="E8" s="1719"/>
      <c r="F8" s="1719"/>
      <c r="G8" s="1719"/>
      <c r="H8" s="1719"/>
      <c r="I8" s="1720"/>
      <c r="J8" s="1721">
        <v>2951870</v>
      </c>
      <c r="K8" s="1722"/>
    </row>
    <row r="9" spans="1:11" ht="15.75" thickBot="1">
      <c r="A9" s="1704"/>
      <c r="B9" s="1712"/>
      <c r="C9" s="195">
        <v>2320</v>
      </c>
      <c r="D9" s="1723"/>
      <c r="E9" s="1724"/>
      <c r="F9" s="1724"/>
      <c r="G9" s="1724"/>
      <c r="H9" s="1724"/>
      <c r="I9" s="1725"/>
      <c r="J9" s="1726">
        <v>72000</v>
      </c>
      <c r="K9" s="1727"/>
    </row>
    <row r="10" spans="1:11" ht="16.5" thickBot="1">
      <c r="A10" s="1686" t="s">
        <v>40</v>
      </c>
      <c r="B10" s="1687"/>
      <c r="C10" s="1687"/>
      <c r="D10" s="1687"/>
      <c r="E10" s="1687"/>
      <c r="F10" s="1687"/>
      <c r="G10" s="1687"/>
      <c r="H10" s="1687"/>
      <c r="I10" s="1688"/>
      <c r="J10" s="1689">
        <f>SUM(J7)</f>
        <v>3023870</v>
      </c>
      <c r="K10" s="1690"/>
    </row>
    <row r="11" spans="1:11" ht="15.75">
      <c r="A11" s="194"/>
      <c r="B11" s="194"/>
      <c r="C11" s="193"/>
      <c r="D11" s="192"/>
      <c r="E11" s="192"/>
      <c r="F11" s="191"/>
      <c r="G11" s="190"/>
      <c r="H11" s="189"/>
      <c r="I11" s="189"/>
      <c r="J11" s="189"/>
      <c r="K11" s="189"/>
    </row>
    <row r="12" spans="1:11" ht="15">
      <c r="A12" s="188"/>
      <c r="B12" s="188"/>
      <c r="C12" s="186"/>
      <c r="D12" s="187"/>
      <c r="E12" s="187"/>
      <c r="F12" s="187"/>
      <c r="G12" s="187"/>
      <c r="H12" s="187"/>
      <c r="I12" s="187"/>
      <c r="J12" s="186"/>
      <c r="K12" s="185" t="s">
        <v>45</v>
      </c>
    </row>
    <row r="13" spans="1:11" ht="37.5" customHeight="1" thickBot="1">
      <c r="A13" s="1691" t="s">
        <v>130</v>
      </c>
      <c r="B13" s="1691"/>
      <c r="C13" s="1691"/>
      <c r="D13" s="1691"/>
      <c r="E13" s="1691"/>
      <c r="F13" s="1691"/>
      <c r="G13" s="1691"/>
      <c r="H13" s="1691"/>
      <c r="I13" s="1691"/>
      <c r="J13" s="1691"/>
      <c r="K13" s="1691"/>
    </row>
    <row r="14" spans="1:11" ht="15">
      <c r="A14" s="1692" t="s">
        <v>0</v>
      </c>
      <c r="B14" s="1692" t="s">
        <v>1</v>
      </c>
      <c r="C14" s="1692" t="s">
        <v>119</v>
      </c>
      <c r="D14" s="1692"/>
      <c r="E14" s="1695" t="s">
        <v>8</v>
      </c>
      <c r="F14" s="1697" t="s">
        <v>129</v>
      </c>
      <c r="G14" s="1697" t="s">
        <v>128</v>
      </c>
      <c r="H14" s="1698" t="s">
        <v>2</v>
      </c>
      <c r="I14" s="1699"/>
      <c r="J14" s="1700"/>
      <c r="K14" s="1697" t="s">
        <v>127</v>
      </c>
    </row>
    <row r="15" spans="1:11" ht="51" customHeight="1" thickBot="1">
      <c r="A15" s="1693"/>
      <c r="B15" s="1694"/>
      <c r="C15" s="1694"/>
      <c r="D15" s="1694"/>
      <c r="E15" s="1696"/>
      <c r="F15" s="1694"/>
      <c r="G15" s="1694"/>
      <c r="H15" s="184" t="s">
        <v>126</v>
      </c>
      <c r="I15" s="183" t="s">
        <v>38</v>
      </c>
      <c r="J15" s="182" t="s">
        <v>125</v>
      </c>
      <c r="K15" s="1701"/>
    </row>
    <row r="16" spans="1:11" ht="38.25" customHeight="1">
      <c r="A16" s="1679" t="s">
        <v>22</v>
      </c>
      <c r="B16" s="1680" t="s">
        <v>124</v>
      </c>
      <c r="C16" s="1681"/>
      <c r="D16" s="1681"/>
      <c r="E16" s="1682"/>
      <c r="F16" s="181">
        <f t="shared" ref="F16:K16" si="0">SUM(F17:F17)</f>
        <v>3023870</v>
      </c>
      <c r="G16" s="181">
        <f t="shared" si="0"/>
        <v>3023870</v>
      </c>
      <c r="H16" s="180">
        <f t="shared" si="0"/>
        <v>0</v>
      </c>
      <c r="I16" s="179">
        <f t="shared" si="0"/>
        <v>3023870</v>
      </c>
      <c r="J16" s="178">
        <f t="shared" si="0"/>
        <v>0</v>
      </c>
      <c r="K16" s="177">
        <f t="shared" si="0"/>
        <v>0</v>
      </c>
    </row>
    <row r="17" spans="1:11" ht="28.5" customHeight="1" thickBot="1">
      <c r="A17" s="1672"/>
      <c r="B17" s="176" t="s">
        <v>23</v>
      </c>
      <c r="C17" s="1683" t="s">
        <v>24</v>
      </c>
      <c r="D17" s="1683"/>
      <c r="E17" s="175">
        <v>2480</v>
      </c>
      <c r="F17" s="171">
        <f>SUM(G17,K17)</f>
        <v>3023870</v>
      </c>
      <c r="G17" s="171">
        <f>SUM(H17:J17)</f>
        <v>3023870</v>
      </c>
      <c r="H17" s="174">
        <v>0</v>
      </c>
      <c r="I17" s="173">
        <v>3023870</v>
      </c>
      <c r="J17" s="172">
        <v>0</v>
      </c>
      <c r="K17" s="171">
        <v>0</v>
      </c>
    </row>
    <row r="18" spans="1:11" ht="22.5" customHeight="1" thickBot="1">
      <c r="A18" s="1684" t="s">
        <v>113</v>
      </c>
      <c r="B18" s="1685"/>
      <c r="C18" s="1685"/>
      <c r="D18" s="1685"/>
      <c r="E18" s="1685"/>
      <c r="F18" s="67">
        <f t="shared" ref="F18:K18" si="1">F16</f>
        <v>3023870</v>
      </c>
      <c r="G18" s="67">
        <f t="shared" si="1"/>
        <v>3023870</v>
      </c>
      <c r="H18" s="65">
        <f t="shared" si="1"/>
        <v>0</v>
      </c>
      <c r="I18" s="170">
        <f t="shared" si="1"/>
        <v>3023870</v>
      </c>
      <c r="J18" s="64">
        <f t="shared" si="1"/>
        <v>0</v>
      </c>
      <c r="K18" s="67">
        <f t="shared" si="1"/>
        <v>0</v>
      </c>
    </row>
    <row r="23" spans="1:11">
      <c r="E23" s="310"/>
    </row>
  </sheetData>
  <mergeCells count="31">
    <mergeCell ref="A1:F1"/>
    <mergeCell ref="G1:K1"/>
    <mergeCell ref="A2:K2"/>
    <mergeCell ref="A4:K4"/>
    <mergeCell ref="D5:I5"/>
    <mergeCell ref="J5:K5"/>
    <mergeCell ref="A6:A9"/>
    <mergeCell ref="B6:I6"/>
    <mergeCell ref="J6:K6"/>
    <mergeCell ref="B7:B9"/>
    <mergeCell ref="C7:I7"/>
    <mergeCell ref="J7:K7"/>
    <mergeCell ref="D8:I8"/>
    <mergeCell ref="J8:K8"/>
    <mergeCell ref="D9:I9"/>
    <mergeCell ref="J9:K9"/>
    <mergeCell ref="J10:K10"/>
    <mergeCell ref="A13:K13"/>
    <mergeCell ref="A14:A15"/>
    <mergeCell ref="B14:B15"/>
    <mergeCell ref="C14:D15"/>
    <mergeCell ref="E14:E15"/>
    <mergeCell ref="F14:F15"/>
    <mergeCell ref="G14:G15"/>
    <mergeCell ref="H14:J14"/>
    <mergeCell ref="K14:K15"/>
    <mergeCell ref="A16:A17"/>
    <mergeCell ref="B16:E16"/>
    <mergeCell ref="C17:D17"/>
    <mergeCell ref="A18:E18"/>
    <mergeCell ref="A10:I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K43"/>
  <sheetViews>
    <sheetView view="pageBreakPreview" zoomScaleSheetLayoutView="100" workbookViewId="0">
      <selection activeCell="I6" sqref="I6"/>
    </sheetView>
  </sheetViews>
  <sheetFormatPr defaultRowHeight="12.75"/>
  <cols>
    <col min="1" max="6" width="12.7109375" style="1" customWidth="1"/>
    <col min="7" max="7" width="60.7109375" style="1" customWidth="1"/>
    <col min="8" max="8" width="10.140625" style="1" bestFit="1" customWidth="1"/>
    <col min="9" max="9" width="10.7109375" style="1" bestFit="1" customWidth="1"/>
    <col min="10" max="256" width="9.140625" style="1"/>
    <col min="257" max="257" width="7.7109375" style="1" customWidth="1"/>
    <col min="258" max="258" width="10.5703125" style="1" customWidth="1"/>
    <col min="259" max="259" width="11.140625" style="1" bestFit="1" customWidth="1"/>
    <col min="260" max="260" width="22.140625" style="1" bestFit="1" customWidth="1"/>
    <col min="261" max="261" width="12.28515625" style="1" customWidth="1"/>
    <col min="262" max="262" width="12.5703125" style="1" customWidth="1"/>
    <col min="263" max="263" width="12.140625" style="1" customWidth="1"/>
    <col min="264" max="264" width="19.7109375" style="1" customWidth="1"/>
    <col min="265" max="512" width="9.140625" style="1"/>
    <col min="513" max="513" width="7.7109375" style="1" customWidth="1"/>
    <col min="514" max="514" width="10.5703125" style="1" customWidth="1"/>
    <col min="515" max="515" width="11.140625" style="1" bestFit="1" customWidth="1"/>
    <col min="516" max="516" width="22.140625" style="1" bestFit="1" customWidth="1"/>
    <col min="517" max="517" width="12.28515625" style="1" customWidth="1"/>
    <col min="518" max="518" width="12.5703125" style="1" customWidth="1"/>
    <col min="519" max="519" width="12.140625" style="1" customWidth="1"/>
    <col min="520" max="520" width="19.7109375" style="1" customWidth="1"/>
    <col min="521" max="768" width="9.140625" style="1"/>
    <col min="769" max="769" width="7.7109375" style="1" customWidth="1"/>
    <col min="770" max="770" width="10.5703125" style="1" customWidth="1"/>
    <col min="771" max="771" width="11.140625" style="1" bestFit="1" customWidth="1"/>
    <col min="772" max="772" width="22.140625" style="1" bestFit="1" customWidth="1"/>
    <col min="773" max="773" width="12.28515625" style="1" customWidth="1"/>
    <col min="774" max="774" width="12.5703125" style="1" customWidth="1"/>
    <col min="775" max="775" width="12.140625" style="1" customWidth="1"/>
    <col min="776" max="776" width="19.7109375" style="1" customWidth="1"/>
    <col min="777" max="1024" width="9.140625" style="1"/>
    <col min="1025" max="1025" width="7.7109375" style="1" customWidth="1"/>
    <col min="1026" max="1026" width="10.5703125" style="1" customWidth="1"/>
    <col min="1027" max="1027" width="11.140625" style="1" bestFit="1" customWidth="1"/>
    <col min="1028" max="1028" width="22.140625" style="1" bestFit="1" customWidth="1"/>
    <col min="1029" max="1029" width="12.28515625" style="1" customWidth="1"/>
    <col min="1030" max="1030" width="12.5703125" style="1" customWidth="1"/>
    <col min="1031" max="1031" width="12.140625" style="1" customWidth="1"/>
    <col min="1032" max="1032" width="19.7109375" style="1" customWidth="1"/>
    <col min="1033" max="1280" width="9.140625" style="1"/>
    <col min="1281" max="1281" width="7.7109375" style="1" customWidth="1"/>
    <col min="1282" max="1282" width="10.5703125" style="1" customWidth="1"/>
    <col min="1283" max="1283" width="11.140625" style="1" bestFit="1" customWidth="1"/>
    <col min="1284" max="1284" width="22.140625" style="1" bestFit="1" customWidth="1"/>
    <col min="1285" max="1285" width="12.28515625" style="1" customWidth="1"/>
    <col min="1286" max="1286" width="12.5703125" style="1" customWidth="1"/>
    <col min="1287" max="1287" width="12.140625" style="1" customWidth="1"/>
    <col min="1288" max="1288" width="19.7109375" style="1" customWidth="1"/>
    <col min="1289" max="1536" width="9.140625" style="1"/>
    <col min="1537" max="1537" width="7.7109375" style="1" customWidth="1"/>
    <col min="1538" max="1538" width="10.5703125" style="1" customWidth="1"/>
    <col min="1539" max="1539" width="11.140625" style="1" bestFit="1" customWidth="1"/>
    <col min="1540" max="1540" width="22.140625" style="1" bestFit="1" customWidth="1"/>
    <col min="1541" max="1541" width="12.28515625" style="1" customWidth="1"/>
    <col min="1542" max="1542" width="12.5703125" style="1" customWidth="1"/>
    <col min="1543" max="1543" width="12.140625" style="1" customWidth="1"/>
    <col min="1544" max="1544" width="19.7109375" style="1" customWidth="1"/>
    <col min="1545" max="1792" width="9.140625" style="1"/>
    <col min="1793" max="1793" width="7.7109375" style="1" customWidth="1"/>
    <col min="1794" max="1794" width="10.5703125" style="1" customWidth="1"/>
    <col min="1795" max="1795" width="11.140625" style="1" bestFit="1" customWidth="1"/>
    <col min="1796" max="1796" width="22.140625" style="1" bestFit="1" customWidth="1"/>
    <col min="1797" max="1797" width="12.28515625" style="1" customWidth="1"/>
    <col min="1798" max="1798" width="12.5703125" style="1" customWidth="1"/>
    <col min="1799" max="1799" width="12.140625" style="1" customWidth="1"/>
    <col min="1800" max="1800" width="19.7109375" style="1" customWidth="1"/>
    <col min="1801" max="2048" width="9.140625" style="1"/>
    <col min="2049" max="2049" width="7.7109375" style="1" customWidth="1"/>
    <col min="2050" max="2050" width="10.5703125" style="1" customWidth="1"/>
    <col min="2051" max="2051" width="11.140625" style="1" bestFit="1" customWidth="1"/>
    <col min="2052" max="2052" width="22.140625" style="1" bestFit="1" customWidth="1"/>
    <col min="2053" max="2053" width="12.28515625" style="1" customWidth="1"/>
    <col min="2054" max="2054" width="12.5703125" style="1" customWidth="1"/>
    <col min="2055" max="2055" width="12.140625" style="1" customWidth="1"/>
    <col min="2056" max="2056" width="19.7109375" style="1" customWidth="1"/>
    <col min="2057" max="2304" width="9.140625" style="1"/>
    <col min="2305" max="2305" width="7.7109375" style="1" customWidth="1"/>
    <col min="2306" max="2306" width="10.5703125" style="1" customWidth="1"/>
    <col min="2307" max="2307" width="11.140625" style="1" bestFit="1" customWidth="1"/>
    <col min="2308" max="2308" width="22.140625" style="1" bestFit="1" customWidth="1"/>
    <col min="2309" max="2309" width="12.28515625" style="1" customWidth="1"/>
    <col min="2310" max="2310" width="12.5703125" style="1" customWidth="1"/>
    <col min="2311" max="2311" width="12.140625" style="1" customWidth="1"/>
    <col min="2312" max="2312" width="19.7109375" style="1" customWidth="1"/>
    <col min="2313" max="2560" width="9.140625" style="1"/>
    <col min="2561" max="2561" width="7.7109375" style="1" customWidth="1"/>
    <col min="2562" max="2562" width="10.5703125" style="1" customWidth="1"/>
    <col min="2563" max="2563" width="11.140625" style="1" bestFit="1" customWidth="1"/>
    <col min="2564" max="2564" width="22.140625" style="1" bestFit="1" customWidth="1"/>
    <col min="2565" max="2565" width="12.28515625" style="1" customWidth="1"/>
    <col min="2566" max="2566" width="12.5703125" style="1" customWidth="1"/>
    <col min="2567" max="2567" width="12.140625" style="1" customWidth="1"/>
    <col min="2568" max="2568" width="19.7109375" style="1" customWidth="1"/>
    <col min="2569" max="2816" width="9.140625" style="1"/>
    <col min="2817" max="2817" width="7.7109375" style="1" customWidth="1"/>
    <col min="2818" max="2818" width="10.5703125" style="1" customWidth="1"/>
    <col min="2819" max="2819" width="11.140625" style="1" bestFit="1" customWidth="1"/>
    <col min="2820" max="2820" width="22.140625" style="1" bestFit="1" customWidth="1"/>
    <col min="2821" max="2821" width="12.28515625" style="1" customWidth="1"/>
    <col min="2822" max="2822" width="12.5703125" style="1" customWidth="1"/>
    <col min="2823" max="2823" width="12.140625" style="1" customWidth="1"/>
    <col min="2824" max="2824" width="19.7109375" style="1" customWidth="1"/>
    <col min="2825" max="3072" width="9.140625" style="1"/>
    <col min="3073" max="3073" width="7.7109375" style="1" customWidth="1"/>
    <col min="3074" max="3074" width="10.5703125" style="1" customWidth="1"/>
    <col min="3075" max="3075" width="11.140625" style="1" bestFit="1" customWidth="1"/>
    <col min="3076" max="3076" width="22.140625" style="1" bestFit="1" customWidth="1"/>
    <col min="3077" max="3077" width="12.28515625" style="1" customWidth="1"/>
    <col min="3078" max="3078" width="12.5703125" style="1" customWidth="1"/>
    <col min="3079" max="3079" width="12.140625" style="1" customWidth="1"/>
    <col min="3080" max="3080" width="19.7109375" style="1" customWidth="1"/>
    <col min="3081" max="3328" width="9.140625" style="1"/>
    <col min="3329" max="3329" width="7.7109375" style="1" customWidth="1"/>
    <col min="3330" max="3330" width="10.5703125" style="1" customWidth="1"/>
    <col min="3331" max="3331" width="11.140625" style="1" bestFit="1" customWidth="1"/>
    <col min="3332" max="3332" width="22.140625" style="1" bestFit="1" customWidth="1"/>
    <col min="3333" max="3333" width="12.28515625" style="1" customWidth="1"/>
    <col min="3334" max="3334" width="12.5703125" style="1" customWidth="1"/>
    <col min="3335" max="3335" width="12.140625" style="1" customWidth="1"/>
    <col min="3336" max="3336" width="19.7109375" style="1" customWidth="1"/>
    <col min="3337" max="3584" width="9.140625" style="1"/>
    <col min="3585" max="3585" width="7.7109375" style="1" customWidth="1"/>
    <col min="3586" max="3586" width="10.5703125" style="1" customWidth="1"/>
    <col min="3587" max="3587" width="11.140625" style="1" bestFit="1" customWidth="1"/>
    <col min="3588" max="3588" width="22.140625" style="1" bestFit="1" customWidth="1"/>
    <col min="3589" max="3589" width="12.28515625" style="1" customWidth="1"/>
    <col min="3590" max="3590" width="12.5703125" style="1" customWidth="1"/>
    <col min="3591" max="3591" width="12.140625" style="1" customWidth="1"/>
    <col min="3592" max="3592" width="19.7109375" style="1" customWidth="1"/>
    <col min="3593" max="3840" width="9.140625" style="1"/>
    <col min="3841" max="3841" width="7.7109375" style="1" customWidth="1"/>
    <col min="3842" max="3842" width="10.5703125" style="1" customWidth="1"/>
    <col min="3843" max="3843" width="11.140625" style="1" bestFit="1" customWidth="1"/>
    <col min="3844" max="3844" width="22.140625" style="1" bestFit="1" customWidth="1"/>
    <col min="3845" max="3845" width="12.28515625" style="1" customWidth="1"/>
    <col min="3846" max="3846" width="12.5703125" style="1" customWidth="1"/>
    <col min="3847" max="3847" width="12.140625" style="1" customWidth="1"/>
    <col min="3848" max="3848" width="19.7109375" style="1" customWidth="1"/>
    <col min="3849" max="4096" width="9.140625" style="1"/>
    <col min="4097" max="4097" width="7.7109375" style="1" customWidth="1"/>
    <col min="4098" max="4098" width="10.5703125" style="1" customWidth="1"/>
    <col min="4099" max="4099" width="11.140625" style="1" bestFit="1" customWidth="1"/>
    <col min="4100" max="4100" width="22.140625" style="1" bestFit="1" customWidth="1"/>
    <col min="4101" max="4101" width="12.28515625" style="1" customWidth="1"/>
    <col min="4102" max="4102" width="12.5703125" style="1" customWidth="1"/>
    <col min="4103" max="4103" width="12.140625" style="1" customWidth="1"/>
    <col min="4104" max="4104" width="19.7109375" style="1" customWidth="1"/>
    <col min="4105" max="4352" width="9.140625" style="1"/>
    <col min="4353" max="4353" width="7.7109375" style="1" customWidth="1"/>
    <col min="4354" max="4354" width="10.5703125" style="1" customWidth="1"/>
    <col min="4355" max="4355" width="11.140625" style="1" bestFit="1" customWidth="1"/>
    <col min="4356" max="4356" width="22.140625" style="1" bestFit="1" customWidth="1"/>
    <col min="4357" max="4357" width="12.28515625" style="1" customWidth="1"/>
    <col min="4358" max="4358" width="12.5703125" style="1" customWidth="1"/>
    <col min="4359" max="4359" width="12.140625" style="1" customWidth="1"/>
    <col min="4360" max="4360" width="19.7109375" style="1" customWidth="1"/>
    <col min="4361" max="4608" width="9.140625" style="1"/>
    <col min="4609" max="4609" width="7.7109375" style="1" customWidth="1"/>
    <col min="4610" max="4610" width="10.5703125" style="1" customWidth="1"/>
    <col min="4611" max="4611" width="11.140625" style="1" bestFit="1" customWidth="1"/>
    <col min="4612" max="4612" width="22.140625" style="1" bestFit="1" customWidth="1"/>
    <col min="4613" max="4613" width="12.28515625" style="1" customWidth="1"/>
    <col min="4614" max="4614" width="12.5703125" style="1" customWidth="1"/>
    <col min="4615" max="4615" width="12.140625" style="1" customWidth="1"/>
    <col min="4616" max="4616" width="19.7109375" style="1" customWidth="1"/>
    <col min="4617" max="4864" width="9.140625" style="1"/>
    <col min="4865" max="4865" width="7.7109375" style="1" customWidth="1"/>
    <col min="4866" max="4866" width="10.5703125" style="1" customWidth="1"/>
    <col min="4867" max="4867" width="11.140625" style="1" bestFit="1" customWidth="1"/>
    <col min="4868" max="4868" width="22.140625" style="1" bestFit="1" customWidth="1"/>
    <col min="4869" max="4869" width="12.28515625" style="1" customWidth="1"/>
    <col min="4870" max="4870" width="12.5703125" style="1" customWidth="1"/>
    <col min="4871" max="4871" width="12.140625" style="1" customWidth="1"/>
    <col min="4872" max="4872" width="19.7109375" style="1" customWidth="1"/>
    <col min="4873" max="5120" width="9.140625" style="1"/>
    <col min="5121" max="5121" width="7.7109375" style="1" customWidth="1"/>
    <col min="5122" max="5122" width="10.5703125" style="1" customWidth="1"/>
    <col min="5123" max="5123" width="11.140625" style="1" bestFit="1" customWidth="1"/>
    <col min="5124" max="5124" width="22.140625" style="1" bestFit="1" customWidth="1"/>
    <col min="5125" max="5125" width="12.28515625" style="1" customWidth="1"/>
    <col min="5126" max="5126" width="12.5703125" style="1" customWidth="1"/>
    <col min="5127" max="5127" width="12.140625" style="1" customWidth="1"/>
    <col min="5128" max="5128" width="19.7109375" style="1" customWidth="1"/>
    <col min="5129" max="5376" width="9.140625" style="1"/>
    <col min="5377" max="5377" width="7.7109375" style="1" customWidth="1"/>
    <col min="5378" max="5378" width="10.5703125" style="1" customWidth="1"/>
    <col min="5379" max="5379" width="11.140625" style="1" bestFit="1" customWidth="1"/>
    <col min="5380" max="5380" width="22.140625" style="1" bestFit="1" customWidth="1"/>
    <col min="5381" max="5381" width="12.28515625" style="1" customWidth="1"/>
    <col min="5382" max="5382" width="12.5703125" style="1" customWidth="1"/>
    <col min="5383" max="5383" width="12.140625" style="1" customWidth="1"/>
    <col min="5384" max="5384" width="19.7109375" style="1" customWidth="1"/>
    <col min="5385" max="5632" width="9.140625" style="1"/>
    <col min="5633" max="5633" width="7.7109375" style="1" customWidth="1"/>
    <col min="5634" max="5634" width="10.5703125" style="1" customWidth="1"/>
    <col min="5635" max="5635" width="11.140625" style="1" bestFit="1" customWidth="1"/>
    <col min="5636" max="5636" width="22.140625" style="1" bestFit="1" customWidth="1"/>
    <col min="5637" max="5637" width="12.28515625" style="1" customWidth="1"/>
    <col min="5638" max="5638" width="12.5703125" style="1" customWidth="1"/>
    <col min="5639" max="5639" width="12.140625" style="1" customWidth="1"/>
    <col min="5640" max="5640" width="19.7109375" style="1" customWidth="1"/>
    <col min="5641" max="5888" width="9.140625" style="1"/>
    <col min="5889" max="5889" width="7.7109375" style="1" customWidth="1"/>
    <col min="5890" max="5890" width="10.5703125" style="1" customWidth="1"/>
    <col min="5891" max="5891" width="11.140625" style="1" bestFit="1" customWidth="1"/>
    <col min="5892" max="5892" width="22.140625" style="1" bestFit="1" customWidth="1"/>
    <col min="5893" max="5893" width="12.28515625" style="1" customWidth="1"/>
    <col min="5894" max="5894" width="12.5703125" style="1" customWidth="1"/>
    <col min="5895" max="5895" width="12.140625" style="1" customWidth="1"/>
    <col min="5896" max="5896" width="19.7109375" style="1" customWidth="1"/>
    <col min="5897" max="6144" width="9.140625" style="1"/>
    <col min="6145" max="6145" width="7.7109375" style="1" customWidth="1"/>
    <col min="6146" max="6146" width="10.5703125" style="1" customWidth="1"/>
    <col min="6147" max="6147" width="11.140625" style="1" bestFit="1" customWidth="1"/>
    <col min="6148" max="6148" width="22.140625" style="1" bestFit="1" customWidth="1"/>
    <col min="6149" max="6149" width="12.28515625" style="1" customWidth="1"/>
    <col min="6150" max="6150" width="12.5703125" style="1" customWidth="1"/>
    <col min="6151" max="6151" width="12.140625" style="1" customWidth="1"/>
    <col min="6152" max="6152" width="19.7109375" style="1" customWidth="1"/>
    <col min="6153" max="6400" width="9.140625" style="1"/>
    <col min="6401" max="6401" width="7.7109375" style="1" customWidth="1"/>
    <col min="6402" max="6402" width="10.5703125" style="1" customWidth="1"/>
    <col min="6403" max="6403" width="11.140625" style="1" bestFit="1" customWidth="1"/>
    <col min="6404" max="6404" width="22.140625" style="1" bestFit="1" customWidth="1"/>
    <col min="6405" max="6405" width="12.28515625" style="1" customWidth="1"/>
    <col min="6406" max="6406" width="12.5703125" style="1" customWidth="1"/>
    <col min="6407" max="6407" width="12.140625" style="1" customWidth="1"/>
    <col min="6408" max="6408" width="19.7109375" style="1" customWidth="1"/>
    <col min="6409" max="6656" width="9.140625" style="1"/>
    <col min="6657" max="6657" width="7.7109375" style="1" customWidth="1"/>
    <col min="6658" max="6658" width="10.5703125" style="1" customWidth="1"/>
    <col min="6659" max="6659" width="11.140625" style="1" bestFit="1" customWidth="1"/>
    <col min="6660" max="6660" width="22.140625" style="1" bestFit="1" customWidth="1"/>
    <col min="6661" max="6661" width="12.28515625" style="1" customWidth="1"/>
    <col min="6662" max="6662" width="12.5703125" style="1" customWidth="1"/>
    <col min="6663" max="6663" width="12.140625" style="1" customWidth="1"/>
    <col min="6664" max="6664" width="19.7109375" style="1" customWidth="1"/>
    <col min="6665" max="6912" width="9.140625" style="1"/>
    <col min="6913" max="6913" width="7.7109375" style="1" customWidth="1"/>
    <col min="6914" max="6914" width="10.5703125" style="1" customWidth="1"/>
    <col min="6915" max="6915" width="11.140625" style="1" bestFit="1" customWidth="1"/>
    <col min="6916" max="6916" width="22.140625" style="1" bestFit="1" customWidth="1"/>
    <col min="6917" max="6917" width="12.28515625" style="1" customWidth="1"/>
    <col min="6918" max="6918" width="12.5703125" style="1" customWidth="1"/>
    <col min="6919" max="6919" width="12.140625" style="1" customWidth="1"/>
    <col min="6920" max="6920" width="19.7109375" style="1" customWidth="1"/>
    <col min="6921" max="7168" width="9.140625" style="1"/>
    <col min="7169" max="7169" width="7.7109375" style="1" customWidth="1"/>
    <col min="7170" max="7170" width="10.5703125" style="1" customWidth="1"/>
    <col min="7171" max="7171" width="11.140625" style="1" bestFit="1" customWidth="1"/>
    <col min="7172" max="7172" width="22.140625" style="1" bestFit="1" customWidth="1"/>
    <col min="7173" max="7173" width="12.28515625" style="1" customWidth="1"/>
    <col min="7174" max="7174" width="12.5703125" style="1" customWidth="1"/>
    <col min="7175" max="7175" width="12.140625" style="1" customWidth="1"/>
    <col min="7176" max="7176" width="19.7109375" style="1" customWidth="1"/>
    <col min="7177" max="7424" width="9.140625" style="1"/>
    <col min="7425" max="7425" width="7.7109375" style="1" customWidth="1"/>
    <col min="7426" max="7426" width="10.5703125" style="1" customWidth="1"/>
    <col min="7427" max="7427" width="11.140625" style="1" bestFit="1" customWidth="1"/>
    <col min="7428" max="7428" width="22.140625" style="1" bestFit="1" customWidth="1"/>
    <col min="7429" max="7429" width="12.28515625" style="1" customWidth="1"/>
    <col min="7430" max="7430" width="12.5703125" style="1" customWidth="1"/>
    <col min="7431" max="7431" width="12.140625" style="1" customWidth="1"/>
    <col min="7432" max="7432" width="19.7109375" style="1" customWidth="1"/>
    <col min="7433" max="7680" width="9.140625" style="1"/>
    <col min="7681" max="7681" width="7.7109375" style="1" customWidth="1"/>
    <col min="7682" max="7682" width="10.5703125" style="1" customWidth="1"/>
    <col min="7683" max="7683" width="11.140625" style="1" bestFit="1" customWidth="1"/>
    <col min="7684" max="7684" width="22.140625" style="1" bestFit="1" customWidth="1"/>
    <col min="7685" max="7685" width="12.28515625" style="1" customWidth="1"/>
    <col min="7686" max="7686" width="12.5703125" style="1" customWidth="1"/>
    <col min="7687" max="7687" width="12.140625" style="1" customWidth="1"/>
    <col min="7688" max="7688" width="19.7109375" style="1" customWidth="1"/>
    <col min="7689" max="7936" width="9.140625" style="1"/>
    <col min="7937" max="7937" width="7.7109375" style="1" customWidth="1"/>
    <col min="7938" max="7938" width="10.5703125" style="1" customWidth="1"/>
    <col min="7939" max="7939" width="11.140625" style="1" bestFit="1" customWidth="1"/>
    <col min="7940" max="7940" width="22.140625" style="1" bestFit="1" customWidth="1"/>
    <col min="7941" max="7941" width="12.28515625" style="1" customWidth="1"/>
    <col min="7942" max="7942" width="12.5703125" style="1" customWidth="1"/>
    <col min="7943" max="7943" width="12.140625" style="1" customWidth="1"/>
    <col min="7944" max="7944" width="19.7109375" style="1" customWidth="1"/>
    <col min="7945" max="8192" width="9.140625" style="1"/>
    <col min="8193" max="8193" width="7.7109375" style="1" customWidth="1"/>
    <col min="8194" max="8194" width="10.5703125" style="1" customWidth="1"/>
    <col min="8195" max="8195" width="11.140625" style="1" bestFit="1" customWidth="1"/>
    <col min="8196" max="8196" width="22.140625" style="1" bestFit="1" customWidth="1"/>
    <col min="8197" max="8197" width="12.28515625" style="1" customWidth="1"/>
    <col min="8198" max="8198" width="12.5703125" style="1" customWidth="1"/>
    <col min="8199" max="8199" width="12.140625" style="1" customWidth="1"/>
    <col min="8200" max="8200" width="19.7109375" style="1" customWidth="1"/>
    <col min="8201" max="8448" width="9.140625" style="1"/>
    <col min="8449" max="8449" width="7.7109375" style="1" customWidth="1"/>
    <col min="8450" max="8450" width="10.5703125" style="1" customWidth="1"/>
    <col min="8451" max="8451" width="11.140625" style="1" bestFit="1" customWidth="1"/>
    <col min="8452" max="8452" width="22.140625" style="1" bestFit="1" customWidth="1"/>
    <col min="8453" max="8453" width="12.28515625" style="1" customWidth="1"/>
    <col min="8454" max="8454" width="12.5703125" style="1" customWidth="1"/>
    <col min="8455" max="8455" width="12.140625" style="1" customWidth="1"/>
    <col min="8456" max="8456" width="19.7109375" style="1" customWidth="1"/>
    <col min="8457" max="8704" width="9.140625" style="1"/>
    <col min="8705" max="8705" width="7.7109375" style="1" customWidth="1"/>
    <col min="8706" max="8706" width="10.5703125" style="1" customWidth="1"/>
    <col min="8707" max="8707" width="11.140625" style="1" bestFit="1" customWidth="1"/>
    <col min="8708" max="8708" width="22.140625" style="1" bestFit="1" customWidth="1"/>
    <col min="8709" max="8709" width="12.28515625" style="1" customWidth="1"/>
    <col min="8710" max="8710" width="12.5703125" style="1" customWidth="1"/>
    <col min="8711" max="8711" width="12.140625" style="1" customWidth="1"/>
    <col min="8712" max="8712" width="19.7109375" style="1" customWidth="1"/>
    <col min="8713" max="8960" width="9.140625" style="1"/>
    <col min="8961" max="8961" width="7.7109375" style="1" customWidth="1"/>
    <col min="8962" max="8962" width="10.5703125" style="1" customWidth="1"/>
    <col min="8963" max="8963" width="11.140625" style="1" bestFit="1" customWidth="1"/>
    <col min="8964" max="8964" width="22.140625" style="1" bestFit="1" customWidth="1"/>
    <col min="8965" max="8965" width="12.28515625" style="1" customWidth="1"/>
    <col min="8966" max="8966" width="12.5703125" style="1" customWidth="1"/>
    <col min="8967" max="8967" width="12.140625" style="1" customWidth="1"/>
    <col min="8968" max="8968" width="19.7109375" style="1" customWidth="1"/>
    <col min="8969" max="9216" width="9.140625" style="1"/>
    <col min="9217" max="9217" width="7.7109375" style="1" customWidth="1"/>
    <col min="9218" max="9218" width="10.5703125" style="1" customWidth="1"/>
    <col min="9219" max="9219" width="11.140625" style="1" bestFit="1" customWidth="1"/>
    <col min="9220" max="9220" width="22.140625" style="1" bestFit="1" customWidth="1"/>
    <col min="9221" max="9221" width="12.28515625" style="1" customWidth="1"/>
    <col min="9222" max="9222" width="12.5703125" style="1" customWidth="1"/>
    <col min="9223" max="9223" width="12.140625" style="1" customWidth="1"/>
    <col min="9224" max="9224" width="19.7109375" style="1" customWidth="1"/>
    <col min="9225" max="9472" width="9.140625" style="1"/>
    <col min="9473" max="9473" width="7.7109375" style="1" customWidth="1"/>
    <col min="9474" max="9474" width="10.5703125" style="1" customWidth="1"/>
    <col min="9475" max="9475" width="11.140625" style="1" bestFit="1" customWidth="1"/>
    <col min="9476" max="9476" width="22.140625" style="1" bestFit="1" customWidth="1"/>
    <col min="9477" max="9477" width="12.28515625" style="1" customWidth="1"/>
    <col min="9478" max="9478" width="12.5703125" style="1" customWidth="1"/>
    <col min="9479" max="9479" width="12.140625" style="1" customWidth="1"/>
    <col min="9480" max="9480" width="19.7109375" style="1" customWidth="1"/>
    <col min="9481" max="9728" width="9.140625" style="1"/>
    <col min="9729" max="9729" width="7.7109375" style="1" customWidth="1"/>
    <col min="9730" max="9730" width="10.5703125" style="1" customWidth="1"/>
    <col min="9731" max="9731" width="11.140625" style="1" bestFit="1" customWidth="1"/>
    <col min="9732" max="9732" width="22.140625" style="1" bestFit="1" customWidth="1"/>
    <col min="9733" max="9733" width="12.28515625" style="1" customWidth="1"/>
    <col min="9734" max="9734" width="12.5703125" style="1" customWidth="1"/>
    <col min="9735" max="9735" width="12.140625" style="1" customWidth="1"/>
    <col min="9736" max="9736" width="19.7109375" style="1" customWidth="1"/>
    <col min="9737" max="9984" width="9.140625" style="1"/>
    <col min="9985" max="9985" width="7.7109375" style="1" customWidth="1"/>
    <col min="9986" max="9986" width="10.5703125" style="1" customWidth="1"/>
    <col min="9987" max="9987" width="11.140625" style="1" bestFit="1" customWidth="1"/>
    <col min="9988" max="9988" width="22.140625" style="1" bestFit="1" customWidth="1"/>
    <col min="9989" max="9989" width="12.28515625" style="1" customWidth="1"/>
    <col min="9990" max="9990" width="12.5703125" style="1" customWidth="1"/>
    <col min="9991" max="9991" width="12.140625" style="1" customWidth="1"/>
    <col min="9992" max="9992" width="19.7109375" style="1" customWidth="1"/>
    <col min="9993" max="10240" width="9.140625" style="1"/>
    <col min="10241" max="10241" width="7.7109375" style="1" customWidth="1"/>
    <col min="10242" max="10242" width="10.5703125" style="1" customWidth="1"/>
    <col min="10243" max="10243" width="11.140625" style="1" bestFit="1" customWidth="1"/>
    <col min="10244" max="10244" width="22.140625" style="1" bestFit="1" customWidth="1"/>
    <col min="10245" max="10245" width="12.28515625" style="1" customWidth="1"/>
    <col min="10246" max="10246" width="12.5703125" style="1" customWidth="1"/>
    <col min="10247" max="10247" width="12.140625" style="1" customWidth="1"/>
    <col min="10248" max="10248" width="19.7109375" style="1" customWidth="1"/>
    <col min="10249" max="10496" width="9.140625" style="1"/>
    <col min="10497" max="10497" width="7.7109375" style="1" customWidth="1"/>
    <col min="10498" max="10498" width="10.5703125" style="1" customWidth="1"/>
    <col min="10499" max="10499" width="11.140625" style="1" bestFit="1" customWidth="1"/>
    <col min="10500" max="10500" width="22.140625" style="1" bestFit="1" customWidth="1"/>
    <col min="10501" max="10501" width="12.28515625" style="1" customWidth="1"/>
    <col min="10502" max="10502" width="12.5703125" style="1" customWidth="1"/>
    <col min="10503" max="10503" width="12.140625" style="1" customWidth="1"/>
    <col min="10504" max="10504" width="19.7109375" style="1" customWidth="1"/>
    <col min="10505" max="10752" width="9.140625" style="1"/>
    <col min="10753" max="10753" width="7.7109375" style="1" customWidth="1"/>
    <col min="10754" max="10754" width="10.5703125" style="1" customWidth="1"/>
    <col min="10755" max="10755" width="11.140625" style="1" bestFit="1" customWidth="1"/>
    <col min="10756" max="10756" width="22.140625" style="1" bestFit="1" customWidth="1"/>
    <col min="10757" max="10757" width="12.28515625" style="1" customWidth="1"/>
    <col min="10758" max="10758" width="12.5703125" style="1" customWidth="1"/>
    <col min="10759" max="10759" width="12.140625" style="1" customWidth="1"/>
    <col min="10760" max="10760" width="19.7109375" style="1" customWidth="1"/>
    <col min="10761" max="11008" width="9.140625" style="1"/>
    <col min="11009" max="11009" width="7.7109375" style="1" customWidth="1"/>
    <col min="11010" max="11010" width="10.5703125" style="1" customWidth="1"/>
    <col min="11011" max="11011" width="11.140625" style="1" bestFit="1" customWidth="1"/>
    <col min="11012" max="11012" width="22.140625" style="1" bestFit="1" customWidth="1"/>
    <col min="11013" max="11013" width="12.28515625" style="1" customWidth="1"/>
    <col min="11014" max="11014" width="12.5703125" style="1" customWidth="1"/>
    <col min="11015" max="11015" width="12.140625" style="1" customWidth="1"/>
    <col min="11016" max="11016" width="19.7109375" style="1" customWidth="1"/>
    <col min="11017" max="11264" width="9.140625" style="1"/>
    <col min="11265" max="11265" width="7.7109375" style="1" customWidth="1"/>
    <col min="11266" max="11266" width="10.5703125" style="1" customWidth="1"/>
    <col min="11267" max="11267" width="11.140625" style="1" bestFit="1" customWidth="1"/>
    <col min="11268" max="11268" width="22.140625" style="1" bestFit="1" customWidth="1"/>
    <col min="11269" max="11269" width="12.28515625" style="1" customWidth="1"/>
    <col min="11270" max="11270" width="12.5703125" style="1" customWidth="1"/>
    <col min="11271" max="11271" width="12.140625" style="1" customWidth="1"/>
    <col min="11272" max="11272" width="19.7109375" style="1" customWidth="1"/>
    <col min="11273" max="11520" width="9.140625" style="1"/>
    <col min="11521" max="11521" width="7.7109375" style="1" customWidth="1"/>
    <col min="11522" max="11522" width="10.5703125" style="1" customWidth="1"/>
    <col min="11523" max="11523" width="11.140625" style="1" bestFit="1" customWidth="1"/>
    <col min="11524" max="11524" width="22.140625" style="1" bestFit="1" customWidth="1"/>
    <col min="11525" max="11525" width="12.28515625" style="1" customWidth="1"/>
    <col min="11526" max="11526" width="12.5703125" style="1" customWidth="1"/>
    <col min="11527" max="11527" width="12.140625" style="1" customWidth="1"/>
    <col min="11528" max="11528" width="19.7109375" style="1" customWidth="1"/>
    <col min="11529" max="11776" width="9.140625" style="1"/>
    <col min="11777" max="11777" width="7.7109375" style="1" customWidth="1"/>
    <col min="11778" max="11778" width="10.5703125" style="1" customWidth="1"/>
    <col min="11779" max="11779" width="11.140625" style="1" bestFit="1" customWidth="1"/>
    <col min="11780" max="11780" width="22.140625" style="1" bestFit="1" customWidth="1"/>
    <col min="11781" max="11781" width="12.28515625" style="1" customWidth="1"/>
    <col min="11782" max="11782" width="12.5703125" style="1" customWidth="1"/>
    <col min="11783" max="11783" width="12.140625" style="1" customWidth="1"/>
    <col min="11784" max="11784" width="19.7109375" style="1" customWidth="1"/>
    <col min="11785" max="12032" width="9.140625" style="1"/>
    <col min="12033" max="12033" width="7.7109375" style="1" customWidth="1"/>
    <col min="12034" max="12034" width="10.5703125" style="1" customWidth="1"/>
    <col min="12035" max="12035" width="11.140625" style="1" bestFit="1" customWidth="1"/>
    <col min="12036" max="12036" width="22.140625" style="1" bestFit="1" customWidth="1"/>
    <col min="12037" max="12037" width="12.28515625" style="1" customWidth="1"/>
    <col min="12038" max="12038" width="12.5703125" style="1" customWidth="1"/>
    <col min="12039" max="12039" width="12.140625" style="1" customWidth="1"/>
    <col min="12040" max="12040" width="19.7109375" style="1" customWidth="1"/>
    <col min="12041" max="12288" width="9.140625" style="1"/>
    <col min="12289" max="12289" width="7.7109375" style="1" customWidth="1"/>
    <col min="12290" max="12290" width="10.5703125" style="1" customWidth="1"/>
    <col min="12291" max="12291" width="11.140625" style="1" bestFit="1" customWidth="1"/>
    <col min="12292" max="12292" width="22.140625" style="1" bestFit="1" customWidth="1"/>
    <col min="12293" max="12293" width="12.28515625" style="1" customWidth="1"/>
    <col min="12294" max="12294" width="12.5703125" style="1" customWidth="1"/>
    <col min="12295" max="12295" width="12.140625" style="1" customWidth="1"/>
    <col min="12296" max="12296" width="19.7109375" style="1" customWidth="1"/>
    <col min="12297" max="12544" width="9.140625" style="1"/>
    <col min="12545" max="12545" width="7.7109375" style="1" customWidth="1"/>
    <col min="12546" max="12546" width="10.5703125" style="1" customWidth="1"/>
    <col min="12547" max="12547" width="11.140625" style="1" bestFit="1" customWidth="1"/>
    <col min="12548" max="12548" width="22.140625" style="1" bestFit="1" customWidth="1"/>
    <col min="12549" max="12549" width="12.28515625" style="1" customWidth="1"/>
    <col min="12550" max="12550" width="12.5703125" style="1" customWidth="1"/>
    <col min="12551" max="12551" width="12.140625" style="1" customWidth="1"/>
    <col min="12552" max="12552" width="19.7109375" style="1" customWidth="1"/>
    <col min="12553" max="12800" width="9.140625" style="1"/>
    <col min="12801" max="12801" width="7.7109375" style="1" customWidth="1"/>
    <col min="12802" max="12802" width="10.5703125" style="1" customWidth="1"/>
    <col min="12803" max="12803" width="11.140625" style="1" bestFit="1" customWidth="1"/>
    <col min="12804" max="12804" width="22.140625" style="1" bestFit="1" customWidth="1"/>
    <col min="12805" max="12805" width="12.28515625" style="1" customWidth="1"/>
    <col min="12806" max="12806" width="12.5703125" style="1" customWidth="1"/>
    <col min="12807" max="12807" width="12.140625" style="1" customWidth="1"/>
    <col min="12808" max="12808" width="19.7109375" style="1" customWidth="1"/>
    <col min="12809" max="13056" width="9.140625" style="1"/>
    <col min="13057" max="13057" width="7.7109375" style="1" customWidth="1"/>
    <col min="13058" max="13058" width="10.5703125" style="1" customWidth="1"/>
    <col min="13059" max="13059" width="11.140625" style="1" bestFit="1" customWidth="1"/>
    <col min="13060" max="13060" width="22.140625" style="1" bestFit="1" customWidth="1"/>
    <col min="13061" max="13061" width="12.28515625" style="1" customWidth="1"/>
    <col min="13062" max="13062" width="12.5703125" style="1" customWidth="1"/>
    <col min="13063" max="13063" width="12.140625" style="1" customWidth="1"/>
    <col min="13064" max="13064" width="19.7109375" style="1" customWidth="1"/>
    <col min="13065" max="13312" width="9.140625" style="1"/>
    <col min="13313" max="13313" width="7.7109375" style="1" customWidth="1"/>
    <col min="13314" max="13314" width="10.5703125" style="1" customWidth="1"/>
    <col min="13315" max="13315" width="11.140625" style="1" bestFit="1" customWidth="1"/>
    <col min="13316" max="13316" width="22.140625" style="1" bestFit="1" customWidth="1"/>
    <col min="13317" max="13317" width="12.28515625" style="1" customWidth="1"/>
    <col min="13318" max="13318" width="12.5703125" style="1" customWidth="1"/>
    <col min="13319" max="13319" width="12.140625" style="1" customWidth="1"/>
    <col min="13320" max="13320" width="19.7109375" style="1" customWidth="1"/>
    <col min="13321" max="13568" width="9.140625" style="1"/>
    <col min="13569" max="13569" width="7.7109375" style="1" customWidth="1"/>
    <col min="13570" max="13570" width="10.5703125" style="1" customWidth="1"/>
    <col min="13571" max="13571" width="11.140625" style="1" bestFit="1" customWidth="1"/>
    <col min="13572" max="13572" width="22.140625" style="1" bestFit="1" customWidth="1"/>
    <col min="13573" max="13573" width="12.28515625" style="1" customWidth="1"/>
    <col min="13574" max="13574" width="12.5703125" style="1" customWidth="1"/>
    <col min="13575" max="13575" width="12.140625" style="1" customWidth="1"/>
    <col min="13576" max="13576" width="19.7109375" style="1" customWidth="1"/>
    <col min="13577" max="13824" width="9.140625" style="1"/>
    <col min="13825" max="13825" width="7.7109375" style="1" customWidth="1"/>
    <col min="13826" max="13826" width="10.5703125" style="1" customWidth="1"/>
    <col min="13827" max="13827" width="11.140625" style="1" bestFit="1" customWidth="1"/>
    <col min="13828" max="13828" width="22.140625" style="1" bestFit="1" customWidth="1"/>
    <col min="13829" max="13829" width="12.28515625" style="1" customWidth="1"/>
    <col min="13830" max="13830" width="12.5703125" style="1" customWidth="1"/>
    <col min="13831" max="13831" width="12.140625" style="1" customWidth="1"/>
    <col min="13832" max="13832" width="19.7109375" style="1" customWidth="1"/>
    <col min="13833" max="14080" width="9.140625" style="1"/>
    <col min="14081" max="14081" width="7.7109375" style="1" customWidth="1"/>
    <col min="14082" max="14082" width="10.5703125" style="1" customWidth="1"/>
    <col min="14083" max="14083" width="11.140625" style="1" bestFit="1" customWidth="1"/>
    <col min="14084" max="14084" width="22.140625" style="1" bestFit="1" customWidth="1"/>
    <col min="14085" max="14085" width="12.28515625" style="1" customWidth="1"/>
    <col min="14086" max="14086" width="12.5703125" style="1" customWidth="1"/>
    <col min="14087" max="14087" width="12.140625" style="1" customWidth="1"/>
    <col min="14088" max="14088" width="19.7109375" style="1" customWidth="1"/>
    <col min="14089" max="14336" width="9.140625" style="1"/>
    <col min="14337" max="14337" width="7.7109375" style="1" customWidth="1"/>
    <col min="14338" max="14338" width="10.5703125" style="1" customWidth="1"/>
    <col min="14339" max="14339" width="11.140625" style="1" bestFit="1" customWidth="1"/>
    <col min="14340" max="14340" width="22.140625" style="1" bestFit="1" customWidth="1"/>
    <col min="14341" max="14341" width="12.28515625" style="1" customWidth="1"/>
    <col min="14342" max="14342" width="12.5703125" style="1" customWidth="1"/>
    <col min="14343" max="14343" width="12.140625" style="1" customWidth="1"/>
    <col min="14344" max="14344" width="19.7109375" style="1" customWidth="1"/>
    <col min="14345" max="14592" width="9.140625" style="1"/>
    <col min="14593" max="14593" width="7.7109375" style="1" customWidth="1"/>
    <col min="14594" max="14594" width="10.5703125" style="1" customWidth="1"/>
    <col min="14595" max="14595" width="11.140625" style="1" bestFit="1" customWidth="1"/>
    <col min="14596" max="14596" width="22.140625" style="1" bestFit="1" customWidth="1"/>
    <col min="14597" max="14597" width="12.28515625" style="1" customWidth="1"/>
    <col min="14598" max="14598" width="12.5703125" style="1" customWidth="1"/>
    <col min="14599" max="14599" width="12.140625" style="1" customWidth="1"/>
    <col min="14600" max="14600" width="19.7109375" style="1" customWidth="1"/>
    <col min="14601" max="14848" width="9.140625" style="1"/>
    <col min="14849" max="14849" width="7.7109375" style="1" customWidth="1"/>
    <col min="14850" max="14850" width="10.5703125" style="1" customWidth="1"/>
    <col min="14851" max="14851" width="11.140625" style="1" bestFit="1" customWidth="1"/>
    <col min="14852" max="14852" width="22.140625" style="1" bestFit="1" customWidth="1"/>
    <col min="14853" max="14853" width="12.28515625" style="1" customWidth="1"/>
    <col min="14854" max="14854" width="12.5703125" style="1" customWidth="1"/>
    <col min="14855" max="14855" width="12.140625" style="1" customWidth="1"/>
    <col min="14856" max="14856" width="19.7109375" style="1" customWidth="1"/>
    <col min="14857" max="15104" width="9.140625" style="1"/>
    <col min="15105" max="15105" width="7.7109375" style="1" customWidth="1"/>
    <col min="15106" max="15106" width="10.5703125" style="1" customWidth="1"/>
    <col min="15107" max="15107" width="11.140625" style="1" bestFit="1" customWidth="1"/>
    <col min="15108" max="15108" width="22.140625" style="1" bestFit="1" customWidth="1"/>
    <col min="15109" max="15109" width="12.28515625" style="1" customWidth="1"/>
    <col min="15110" max="15110" width="12.5703125" style="1" customWidth="1"/>
    <col min="15111" max="15111" width="12.140625" style="1" customWidth="1"/>
    <col min="15112" max="15112" width="19.7109375" style="1" customWidth="1"/>
    <col min="15113" max="15360" width="9.140625" style="1"/>
    <col min="15361" max="15361" width="7.7109375" style="1" customWidth="1"/>
    <col min="15362" max="15362" width="10.5703125" style="1" customWidth="1"/>
    <col min="15363" max="15363" width="11.140625" style="1" bestFit="1" customWidth="1"/>
    <col min="15364" max="15364" width="22.140625" style="1" bestFit="1" customWidth="1"/>
    <col min="15365" max="15365" width="12.28515625" style="1" customWidth="1"/>
    <col min="15366" max="15366" width="12.5703125" style="1" customWidth="1"/>
    <col min="15367" max="15367" width="12.140625" style="1" customWidth="1"/>
    <col min="15368" max="15368" width="19.7109375" style="1" customWidth="1"/>
    <col min="15369" max="15616" width="9.140625" style="1"/>
    <col min="15617" max="15617" width="7.7109375" style="1" customWidth="1"/>
    <col min="15618" max="15618" width="10.5703125" style="1" customWidth="1"/>
    <col min="15619" max="15619" width="11.140625" style="1" bestFit="1" customWidth="1"/>
    <col min="15620" max="15620" width="22.140625" style="1" bestFit="1" customWidth="1"/>
    <col min="15621" max="15621" width="12.28515625" style="1" customWidth="1"/>
    <col min="15622" max="15622" width="12.5703125" style="1" customWidth="1"/>
    <col min="15623" max="15623" width="12.140625" style="1" customWidth="1"/>
    <col min="15624" max="15624" width="19.7109375" style="1" customWidth="1"/>
    <col min="15625" max="15872" width="9.140625" style="1"/>
    <col min="15873" max="15873" width="7.7109375" style="1" customWidth="1"/>
    <col min="15874" max="15874" width="10.5703125" style="1" customWidth="1"/>
    <col min="15875" max="15875" width="11.140625" style="1" bestFit="1" customWidth="1"/>
    <col min="15876" max="15876" width="22.140625" style="1" bestFit="1" customWidth="1"/>
    <col min="15877" max="15877" width="12.28515625" style="1" customWidth="1"/>
    <col min="15878" max="15878" width="12.5703125" style="1" customWidth="1"/>
    <col min="15879" max="15879" width="12.140625" style="1" customWidth="1"/>
    <col min="15880" max="15880" width="19.7109375" style="1" customWidth="1"/>
    <col min="15881" max="16128" width="9.140625" style="1"/>
    <col min="16129" max="16129" width="7.7109375" style="1" customWidth="1"/>
    <col min="16130" max="16130" width="10.5703125" style="1" customWidth="1"/>
    <col min="16131" max="16131" width="11.140625" style="1" bestFit="1" customWidth="1"/>
    <col min="16132" max="16132" width="22.140625" style="1" bestFit="1" customWidth="1"/>
    <col min="16133" max="16133" width="12.28515625" style="1" customWidth="1"/>
    <col min="16134" max="16134" width="12.5703125" style="1" customWidth="1"/>
    <col min="16135" max="16135" width="12.140625" style="1" customWidth="1"/>
    <col min="16136" max="16136" width="19.7109375" style="1" customWidth="1"/>
    <col min="16137" max="16384" width="9.140625" style="1"/>
  </cols>
  <sheetData>
    <row r="1" spans="1:10" ht="50.1" customHeight="1">
      <c r="A1" s="1757"/>
      <c r="B1" s="1757"/>
      <c r="C1" s="11"/>
      <c r="D1" s="11"/>
      <c r="E1" s="11"/>
      <c r="F1" s="11"/>
      <c r="G1" s="919" t="s">
        <v>1068</v>
      </c>
    </row>
    <row r="2" spans="1:10" ht="30" customHeight="1">
      <c r="A2" s="1661" t="s">
        <v>1025</v>
      </c>
      <c r="B2" s="1661"/>
      <c r="C2" s="1661"/>
      <c r="D2" s="1661"/>
      <c r="E2" s="1661"/>
      <c r="F2" s="1661"/>
      <c r="G2" s="1661"/>
    </row>
    <row r="3" spans="1:10" ht="12.75" customHeight="1">
      <c r="A3" s="918"/>
      <c r="B3" s="918"/>
      <c r="C3" s="918"/>
      <c r="D3" s="918"/>
      <c r="E3" s="918"/>
      <c r="F3" s="918"/>
      <c r="G3" s="9" t="s">
        <v>45</v>
      </c>
    </row>
    <row r="4" spans="1:10" s="1029" customFormat="1" ht="20.100000000000001" customHeight="1" thickBot="1">
      <c r="A4" s="1743" t="s">
        <v>49</v>
      </c>
      <c r="B4" s="1743"/>
      <c r="C4" s="1743"/>
      <c r="D4" s="1743"/>
      <c r="E4" s="1743"/>
      <c r="F4" s="1743"/>
      <c r="G4" s="1743"/>
    </row>
    <row r="5" spans="1:10" s="916" customFormat="1" ht="18" customHeight="1">
      <c r="A5" s="1744" t="s">
        <v>0</v>
      </c>
      <c r="B5" s="1746" t="s">
        <v>1</v>
      </c>
      <c r="C5" s="1746" t="s">
        <v>8</v>
      </c>
      <c r="D5" s="1748" t="s">
        <v>1026</v>
      </c>
      <c r="E5" s="1746" t="s">
        <v>2</v>
      </c>
      <c r="F5" s="1746"/>
      <c r="G5" s="1750" t="s">
        <v>47</v>
      </c>
    </row>
    <row r="6" spans="1:10" s="916" customFormat="1" ht="18" customHeight="1">
      <c r="A6" s="1745"/>
      <c r="B6" s="1747"/>
      <c r="C6" s="1747"/>
      <c r="D6" s="1749"/>
      <c r="E6" s="1030" t="s">
        <v>44</v>
      </c>
      <c r="F6" s="1030" t="s">
        <v>43</v>
      </c>
      <c r="G6" s="1751"/>
    </row>
    <row r="7" spans="1:10" s="310" customFormat="1" ht="15.95" customHeight="1">
      <c r="A7" s="1752">
        <v>150</v>
      </c>
      <c r="B7" s="1031">
        <v>15011</v>
      </c>
      <c r="C7" s="1032">
        <v>2009</v>
      </c>
      <c r="D7" s="1033">
        <f t="shared" ref="D7:D12" si="0">SUM(E7:F7)</f>
        <v>269691</v>
      </c>
      <c r="E7" s="1034">
        <v>269691</v>
      </c>
      <c r="F7" s="1033">
        <v>0</v>
      </c>
      <c r="G7" s="1736" t="s">
        <v>1027</v>
      </c>
      <c r="H7" s="1035"/>
      <c r="I7" s="1035"/>
      <c r="J7" s="1035"/>
    </row>
    <row r="8" spans="1:10" s="310" customFormat="1" ht="20.100000000000001" hidden="1" customHeight="1">
      <c r="A8" s="1753"/>
      <c r="B8" s="1031">
        <v>15013</v>
      </c>
      <c r="C8" s="1032">
        <v>2009</v>
      </c>
      <c r="D8" s="1033">
        <f t="shared" si="0"/>
        <v>0</v>
      </c>
      <c r="E8" s="1034"/>
      <c r="F8" s="1033"/>
      <c r="G8" s="1737"/>
      <c r="H8" s="1035"/>
      <c r="I8" s="1035"/>
      <c r="J8" s="1035"/>
    </row>
    <row r="9" spans="1:10" s="310" customFormat="1" ht="30" customHeight="1">
      <c r="A9" s="1735">
        <v>801</v>
      </c>
      <c r="B9" s="1754">
        <v>80146</v>
      </c>
      <c r="C9" s="1032">
        <v>2007</v>
      </c>
      <c r="D9" s="1033">
        <f t="shared" si="0"/>
        <v>75134</v>
      </c>
      <c r="E9" s="1034">
        <v>75134</v>
      </c>
      <c r="F9" s="1033">
        <v>0</v>
      </c>
      <c r="G9" s="1736" t="s">
        <v>1028</v>
      </c>
      <c r="H9" s="1036"/>
      <c r="I9" s="1036"/>
      <c r="J9" s="1035"/>
    </row>
    <row r="10" spans="1:10" s="310" customFormat="1" ht="30" customHeight="1">
      <c r="A10" s="1735"/>
      <c r="B10" s="1755"/>
      <c r="C10" s="1032">
        <v>2009</v>
      </c>
      <c r="D10" s="1033">
        <f t="shared" si="0"/>
        <v>3172</v>
      </c>
      <c r="E10" s="1034">
        <v>3172</v>
      </c>
      <c r="F10" s="1033">
        <v>0</v>
      </c>
      <c r="G10" s="1738"/>
      <c r="H10" s="1037"/>
      <c r="I10" s="1036"/>
      <c r="J10" s="1035"/>
    </row>
    <row r="11" spans="1:10" s="310" customFormat="1" ht="15.95" customHeight="1">
      <c r="A11" s="1735"/>
      <c r="B11" s="1739">
        <v>80195</v>
      </c>
      <c r="C11" s="1032">
        <v>2007</v>
      </c>
      <c r="D11" s="1033">
        <f t="shared" si="0"/>
        <v>4943420</v>
      </c>
      <c r="E11" s="1038">
        <v>4943420</v>
      </c>
      <c r="F11" s="1033">
        <v>0</v>
      </c>
      <c r="G11" s="1756" t="s">
        <v>1029</v>
      </c>
      <c r="H11" s="1036"/>
      <c r="I11" s="1036"/>
      <c r="J11" s="1035"/>
    </row>
    <row r="12" spans="1:10" s="310" customFormat="1" ht="15.95" customHeight="1">
      <c r="A12" s="1735"/>
      <c r="B12" s="1739"/>
      <c r="C12" s="1032">
        <v>2009</v>
      </c>
      <c r="D12" s="1033">
        <f t="shared" si="0"/>
        <v>88415</v>
      </c>
      <c r="E12" s="1039">
        <v>88415</v>
      </c>
      <c r="F12" s="1033">
        <v>0</v>
      </c>
      <c r="G12" s="1756"/>
      <c r="H12" s="1036"/>
      <c r="I12" s="1036"/>
      <c r="J12" s="1035"/>
    </row>
    <row r="13" spans="1:10" s="310" customFormat="1" ht="15.95" customHeight="1">
      <c r="A13" s="1735"/>
      <c r="B13" s="1739"/>
      <c r="C13" s="1032">
        <v>2009</v>
      </c>
      <c r="D13" s="1033">
        <f>SUM(E13:F13)</f>
        <v>334805</v>
      </c>
      <c r="E13" s="1034">
        <v>334805</v>
      </c>
      <c r="F13" s="1033">
        <v>0</v>
      </c>
      <c r="G13" s="1756" t="s">
        <v>1027</v>
      </c>
      <c r="H13" s="1036"/>
      <c r="I13" s="1036"/>
      <c r="J13" s="1035"/>
    </row>
    <row r="14" spans="1:10" s="310" customFormat="1" ht="15.95" customHeight="1">
      <c r="A14" s="1735"/>
      <c r="B14" s="1739"/>
      <c r="C14" s="1032">
        <v>6209</v>
      </c>
      <c r="D14" s="1033">
        <f>SUM(F14:F14)</f>
        <v>180180</v>
      </c>
      <c r="E14" s="1040">
        <v>0</v>
      </c>
      <c r="F14" s="1034">
        <v>180180</v>
      </c>
      <c r="G14" s="1756"/>
      <c r="H14" s="1036"/>
      <c r="I14" s="1036"/>
      <c r="J14" s="1035"/>
    </row>
    <row r="15" spans="1:10" s="310" customFormat="1" ht="15.95" customHeight="1">
      <c r="A15" s="1735">
        <v>852</v>
      </c>
      <c r="B15" s="1032">
        <v>85218</v>
      </c>
      <c r="C15" s="1032">
        <v>2009</v>
      </c>
      <c r="D15" s="1033">
        <f t="shared" ref="D15:D20" si="1">SUM(E15:F15)</f>
        <v>260816</v>
      </c>
      <c r="E15" s="1034">
        <v>260816</v>
      </c>
      <c r="F15" s="1033">
        <v>0</v>
      </c>
      <c r="G15" s="1756"/>
      <c r="H15" s="1036"/>
      <c r="I15" s="1036"/>
      <c r="J15" s="1035"/>
    </row>
    <row r="16" spans="1:10" s="310" customFormat="1" ht="15.95" customHeight="1">
      <c r="A16" s="1735"/>
      <c r="B16" s="1032">
        <v>85219</v>
      </c>
      <c r="C16" s="1032">
        <v>2009</v>
      </c>
      <c r="D16" s="1033">
        <f t="shared" si="1"/>
        <v>593045</v>
      </c>
      <c r="E16" s="1034">
        <v>593045</v>
      </c>
      <c r="F16" s="1033">
        <v>0</v>
      </c>
      <c r="G16" s="1756"/>
      <c r="H16" s="1035"/>
      <c r="I16" s="1035"/>
      <c r="J16" s="1035"/>
    </row>
    <row r="17" spans="1:11" s="310" customFormat="1" ht="15.95" customHeight="1">
      <c r="A17" s="1735"/>
      <c r="B17" s="1032">
        <v>85295</v>
      </c>
      <c r="C17" s="1032">
        <v>2009</v>
      </c>
      <c r="D17" s="1033">
        <f t="shared" si="1"/>
        <v>308000</v>
      </c>
      <c r="E17" s="1034">
        <v>308000</v>
      </c>
      <c r="F17" s="1033">
        <v>0</v>
      </c>
      <c r="G17" s="1756"/>
      <c r="H17" s="1027"/>
      <c r="I17" s="1027"/>
      <c r="J17" s="1027"/>
    </row>
    <row r="18" spans="1:11" s="310" customFormat="1" ht="15.95" customHeight="1">
      <c r="A18" s="1041">
        <v>853</v>
      </c>
      <c r="B18" s="1032">
        <v>85395</v>
      </c>
      <c r="C18" s="1032">
        <v>2009</v>
      </c>
      <c r="D18" s="1033">
        <f t="shared" si="1"/>
        <v>420447</v>
      </c>
      <c r="E18" s="1034">
        <v>420447</v>
      </c>
      <c r="F18" s="1033">
        <v>0</v>
      </c>
      <c r="G18" s="1756"/>
      <c r="H18" s="1042"/>
      <c r="I18" s="1042"/>
      <c r="J18" s="1035"/>
      <c r="K18" s="1043"/>
    </row>
    <row r="19" spans="1:11" s="1029" customFormat="1" ht="15.95" customHeight="1">
      <c r="A19" s="1735">
        <v>854</v>
      </c>
      <c r="B19" s="1739">
        <v>85495</v>
      </c>
      <c r="C19" s="1032">
        <v>2009</v>
      </c>
      <c r="D19" s="1033">
        <f t="shared" si="1"/>
        <v>207176</v>
      </c>
      <c r="E19" s="1034">
        <v>207176</v>
      </c>
      <c r="F19" s="1033">
        <v>0</v>
      </c>
      <c r="G19" s="1756"/>
      <c r="H19" s="1042"/>
      <c r="I19" s="1042"/>
      <c r="J19" s="1044"/>
      <c r="K19" s="1043"/>
    </row>
    <row r="20" spans="1:11" s="1047" customFormat="1" ht="15.95" customHeight="1">
      <c r="A20" s="1735"/>
      <c r="B20" s="1739"/>
      <c r="C20" s="1032">
        <v>6209</v>
      </c>
      <c r="D20" s="1033">
        <f t="shared" si="1"/>
        <v>6000</v>
      </c>
      <c r="E20" s="1034">
        <v>0</v>
      </c>
      <c r="F20" s="1033">
        <v>6000</v>
      </c>
      <c r="G20" s="1756"/>
      <c r="H20" s="1045"/>
      <c r="I20" s="1045"/>
      <c r="J20" s="1045"/>
      <c r="K20" s="1046"/>
    </row>
    <row r="21" spans="1:11" s="6" customFormat="1" ht="18" customHeight="1" thickBot="1">
      <c r="A21" s="1740" t="s">
        <v>46</v>
      </c>
      <c r="B21" s="1741"/>
      <c r="C21" s="1741"/>
      <c r="D21" s="1048">
        <f>SUM(D7:D20)</f>
        <v>7690301</v>
      </c>
      <c r="E21" s="1048">
        <f>SUM(E7:E20)</f>
        <v>7504121</v>
      </c>
      <c r="F21" s="1048">
        <f>SUM(F7:F20)</f>
        <v>186180</v>
      </c>
      <c r="G21" s="1049"/>
      <c r="H21" s="1050"/>
      <c r="I21" s="1050"/>
      <c r="J21" s="1050"/>
      <c r="K21" s="1051"/>
    </row>
    <row r="22" spans="1:11" ht="9.75" customHeight="1">
      <c r="A22" s="1742"/>
      <c r="B22" s="1742"/>
      <c r="C22" s="1742"/>
      <c r="D22" s="1742"/>
      <c r="E22" s="1742"/>
      <c r="F22" s="1742"/>
      <c r="G22" s="1742"/>
      <c r="H22" s="1052"/>
      <c r="I22" s="1052"/>
      <c r="J22" s="2"/>
      <c r="K22" s="1053"/>
    </row>
    <row r="23" spans="1:11" ht="18" customHeight="1" thickBot="1">
      <c r="A23" s="1743" t="s">
        <v>48</v>
      </c>
      <c r="B23" s="1743"/>
      <c r="C23" s="1743"/>
      <c r="D23" s="1743"/>
      <c r="E23" s="1743"/>
      <c r="F23" s="1743"/>
      <c r="G23" s="1743"/>
      <c r="H23" s="1054"/>
      <c r="I23" s="1054"/>
      <c r="J23" s="1054"/>
      <c r="K23" s="1052"/>
    </row>
    <row r="24" spans="1:11" ht="18" customHeight="1">
      <c r="A24" s="1744" t="s">
        <v>0</v>
      </c>
      <c r="B24" s="1746" t="s">
        <v>1</v>
      </c>
      <c r="C24" s="1746" t="s">
        <v>8</v>
      </c>
      <c r="D24" s="1748" t="s">
        <v>1026</v>
      </c>
      <c r="E24" s="1746" t="s">
        <v>2</v>
      </c>
      <c r="F24" s="1746"/>
      <c r="G24" s="1750" t="s">
        <v>47</v>
      </c>
      <c r="H24" s="1052"/>
      <c r="I24" s="1052"/>
      <c r="J24" s="2"/>
    </row>
    <row r="25" spans="1:11" ht="18" customHeight="1">
      <c r="A25" s="1745"/>
      <c r="B25" s="1747"/>
      <c r="C25" s="1747"/>
      <c r="D25" s="1749"/>
      <c r="E25" s="1030" t="s">
        <v>44</v>
      </c>
      <c r="F25" s="1030" t="s">
        <v>43</v>
      </c>
      <c r="G25" s="1751"/>
      <c r="H25" s="1052"/>
      <c r="I25" s="1052"/>
      <c r="J25" s="2"/>
    </row>
    <row r="26" spans="1:11" s="310" customFormat="1" ht="15.95" customHeight="1">
      <c r="A26" s="1735">
        <v>150</v>
      </c>
      <c r="B26" s="1032">
        <v>15011</v>
      </c>
      <c r="C26" s="1032">
        <v>2009</v>
      </c>
      <c r="D26" s="1033">
        <f t="shared" ref="D26:D33" si="2">SUM(E26:F26)</f>
        <v>5175679</v>
      </c>
      <c r="E26" s="1034">
        <v>5175679</v>
      </c>
      <c r="F26" s="1033">
        <v>0</v>
      </c>
      <c r="G26" s="1736" t="s">
        <v>1027</v>
      </c>
      <c r="H26" s="1035"/>
      <c r="I26" s="1035"/>
      <c r="J26" s="1035"/>
    </row>
    <row r="27" spans="1:11" s="310" customFormat="1" ht="15.95" customHeight="1">
      <c r="A27" s="1735"/>
      <c r="B27" s="1032">
        <v>15013</v>
      </c>
      <c r="C27" s="1032">
        <v>2009</v>
      </c>
      <c r="D27" s="1033">
        <f t="shared" si="2"/>
        <v>3115000</v>
      </c>
      <c r="E27" s="1034">
        <v>3115000</v>
      </c>
      <c r="F27" s="1033">
        <v>0</v>
      </c>
      <c r="G27" s="1737"/>
      <c r="H27" s="1035"/>
      <c r="I27" s="1035"/>
      <c r="J27" s="1035"/>
    </row>
    <row r="28" spans="1:11" s="310" customFormat="1" ht="15.95" customHeight="1">
      <c r="A28" s="1735">
        <v>801</v>
      </c>
      <c r="B28" s="1739">
        <v>80195</v>
      </c>
      <c r="C28" s="1032">
        <v>2009</v>
      </c>
      <c r="D28" s="1033">
        <f t="shared" si="2"/>
        <v>1107785</v>
      </c>
      <c r="E28" s="1034">
        <v>1107785</v>
      </c>
      <c r="F28" s="1033">
        <v>0</v>
      </c>
      <c r="G28" s="1737"/>
      <c r="H28" s="1035"/>
      <c r="I28" s="1035"/>
      <c r="J28" s="1035"/>
    </row>
    <row r="29" spans="1:11" s="310" customFormat="1" ht="15.95" hidden="1" customHeight="1">
      <c r="A29" s="1735"/>
      <c r="B29" s="1739"/>
      <c r="C29" s="1032">
        <v>2007</v>
      </c>
      <c r="D29" s="1033">
        <f t="shared" si="2"/>
        <v>0</v>
      </c>
      <c r="E29" s="1039"/>
      <c r="F29" s="1033"/>
      <c r="G29" s="1737"/>
      <c r="H29" s="1035"/>
      <c r="I29" s="1035"/>
      <c r="J29" s="1035"/>
    </row>
    <row r="30" spans="1:11" s="310" customFormat="1" ht="15.95" hidden="1" customHeight="1">
      <c r="A30" s="1735"/>
      <c r="B30" s="1739"/>
      <c r="C30" s="1032">
        <v>2009</v>
      </c>
      <c r="D30" s="1033">
        <f t="shared" si="2"/>
        <v>0</v>
      </c>
      <c r="E30" s="1039"/>
      <c r="F30" s="1033"/>
      <c r="G30" s="1737"/>
      <c r="H30" s="1035"/>
      <c r="I30" s="1035"/>
      <c r="J30" s="1035"/>
    </row>
    <row r="31" spans="1:11" s="310" customFormat="1" ht="15.95" customHeight="1">
      <c r="A31" s="1041">
        <v>852</v>
      </c>
      <c r="B31" s="1032">
        <v>85295</v>
      </c>
      <c r="C31" s="1032">
        <v>2009</v>
      </c>
      <c r="D31" s="1033">
        <f t="shared" si="2"/>
        <v>2746420</v>
      </c>
      <c r="E31" s="1034">
        <v>2746420</v>
      </c>
      <c r="F31" s="1033">
        <v>0</v>
      </c>
      <c r="G31" s="1737"/>
      <c r="H31" s="1035"/>
      <c r="I31" s="1035"/>
      <c r="J31" s="1035"/>
    </row>
    <row r="32" spans="1:11" s="622" customFormat="1" ht="15.95" customHeight="1">
      <c r="A32" s="1041">
        <v>853</v>
      </c>
      <c r="B32" s="1032">
        <v>85395</v>
      </c>
      <c r="C32" s="1032">
        <v>2009</v>
      </c>
      <c r="D32" s="1033">
        <f t="shared" si="2"/>
        <v>1323565</v>
      </c>
      <c r="E32" s="1034">
        <v>1323565</v>
      </c>
      <c r="F32" s="1033">
        <v>0</v>
      </c>
      <c r="G32" s="1737"/>
      <c r="H32" s="1003"/>
      <c r="I32" s="1035"/>
      <c r="J32" s="1035"/>
    </row>
    <row r="33" spans="1:10" s="310" customFormat="1" ht="15.95" customHeight="1">
      <c r="A33" s="1041">
        <v>854</v>
      </c>
      <c r="B33" s="1032">
        <v>85495</v>
      </c>
      <c r="C33" s="1032">
        <v>2009</v>
      </c>
      <c r="D33" s="1033">
        <f t="shared" si="2"/>
        <v>265384</v>
      </c>
      <c r="E33" s="1034">
        <v>265384</v>
      </c>
      <c r="F33" s="1033">
        <v>0</v>
      </c>
      <c r="G33" s="1738"/>
      <c r="H33" s="1055"/>
      <c r="I33" s="1055"/>
      <c r="J33" s="1055"/>
    </row>
    <row r="34" spans="1:10" ht="18" customHeight="1" thickBot="1">
      <c r="A34" s="1740" t="s">
        <v>46</v>
      </c>
      <c r="B34" s="1741"/>
      <c r="C34" s="1741"/>
      <c r="D34" s="1048">
        <f>SUM(D26:D33)</f>
        <v>13733833</v>
      </c>
      <c r="E34" s="1048">
        <f>SUM(E26:E33)</f>
        <v>13733833</v>
      </c>
      <c r="F34" s="1048">
        <f>SUM(F26:F33)</f>
        <v>0</v>
      </c>
      <c r="G34" s="1049"/>
      <c r="H34" s="1056"/>
      <c r="I34" s="2"/>
      <c r="J34" s="2"/>
    </row>
    <row r="35" spans="1:10">
      <c r="A35" s="1057"/>
      <c r="B35" s="1058"/>
      <c r="C35" s="990"/>
      <c r="D35" s="990"/>
      <c r="E35" s="990"/>
      <c r="F35" s="990"/>
      <c r="G35" s="1059"/>
      <c r="H35" s="1056"/>
      <c r="I35" s="2"/>
      <c r="J35" s="2"/>
    </row>
    <row r="36" spans="1:10">
      <c r="A36" s="1057"/>
      <c r="B36" s="1058"/>
      <c r="C36" s="990"/>
      <c r="D36" s="990"/>
      <c r="E36" s="990"/>
      <c r="F36" s="990"/>
      <c r="G36" s="1059"/>
      <c r="H36" s="1056"/>
      <c r="I36" s="2"/>
      <c r="J36" s="2"/>
    </row>
    <row r="37" spans="1:10">
      <c r="A37" s="1060"/>
      <c r="B37" s="1058"/>
      <c r="C37" s="990"/>
      <c r="D37" s="990"/>
      <c r="E37" s="990"/>
      <c r="F37" s="990"/>
      <c r="G37" s="1061"/>
      <c r="H37" s="1056"/>
      <c r="I37" s="2"/>
      <c r="J37" s="2"/>
    </row>
    <row r="38" spans="1:10">
      <c r="A38" s="1060"/>
      <c r="B38" s="1058"/>
      <c r="C38" s="990"/>
      <c r="D38" s="990"/>
      <c r="E38" s="7"/>
      <c r="G38" s="1061"/>
      <c r="H38" s="1056"/>
      <c r="I38" s="2"/>
      <c r="J38" s="2"/>
    </row>
    <row r="39" spans="1:10">
      <c r="A39" s="1060"/>
      <c r="B39" s="1058"/>
      <c r="C39" s="990"/>
      <c r="D39" s="990"/>
      <c r="E39" s="990"/>
      <c r="F39" s="990"/>
      <c r="G39" s="1061"/>
      <c r="H39" s="1056"/>
      <c r="I39" s="2"/>
      <c r="J39" s="2"/>
    </row>
    <row r="40" spans="1:10" s="1061" customFormat="1">
      <c r="A40" s="1062"/>
      <c r="B40" s="1058"/>
      <c r="C40" s="1063"/>
      <c r="D40" s="1063"/>
      <c r="E40" s="1064"/>
      <c r="G40" s="1001"/>
      <c r="H40" s="1065"/>
      <c r="I40" s="1027"/>
      <c r="J40" s="1027"/>
    </row>
    <row r="41" spans="1:10">
      <c r="A41" s="7"/>
      <c r="B41" s="7"/>
      <c r="C41" s="7"/>
      <c r="D41" s="1066"/>
      <c r="E41" s="990"/>
      <c r="F41" s="990"/>
      <c r="G41" s="7"/>
      <c r="H41" s="7"/>
      <c r="I41" s="7"/>
    </row>
    <row r="42" spans="1:10">
      <c r="G42" s="7"/>
      <c r="H42" s="7"/>
      <c r="I42" s="7"/>
    </row>
    <row r="43" spans="1:10">
      <c r="D43" s="2"/>
      <c r="E43" s="2"/>
      <c r="F43" s="2"/>
    </row>
  </sheetData>
  <mergeCells count="34">
    <mergeCell ref="A1:B1"/>
    <mergeCell ref="A2:G2"/>
    <mergeCell ref="A4:G4"/>
    <mergeCell ref="A5:A6"/>
    <mergeCell ref="B5:B6"/>
    <mergeCell ref="C5:C6"/>
    <mergeCell ref="D5:D6"/>
    <mergeCell ref="E5:F5"/>
    <mergeCell ref="G5:G6"/>
    <mergeCell ref="A7:A8"/>
    <mergeCell ref="G7:G8"/>
    <mergeCell ref="A9:A14"/>
    <mergeCell ref="B9:B10"/>
    <mergeCell ref="G9:G10"/>
    <mergeCell ref="B11:B14"/>
    <mergeCell ref="G11:G12"/>
    <mergeCell ref="G13:G20"/>
    <mergeCell ref="A15:A17"/>
    <mergeCell ref="A19:A20"/>
    <mergeCell ref="B19:B20"/>
    <mergeCell ref="A21:C21"/>
    <mergeCell ref="A22:G22"/>
    <mergeCell ref="A23:G23"/>
    <mergeCell ref="A24:A25"/>
    <mergeCell ref="B24:B25"/>
    <mergeCell ref="C24:C25"/>
    <mergeCell ref="D24:D25"/>
    <mergeCell ref="E24:F24"/>
    <mergeCell ref="G24:G25"/>
    <mergeCell ref="A26:A27"/>
    <mergeCell ref="G26:G33"/>
    <mergeCell ref="A28:A30"/>
    <mergeCell ref="B28:B30"/>
    <mergeCell ref="A34:C34"/>
  </mergeCells>
  <printOptions horizontalCentered="1"/>
  <pageMargins left="0.70866141732283472" right="0.70866141732283472" top="0.74803149606299213" bottom="0.35" header="0.31496062992125984" footer="0.26"/>
  <pageSetup paperSize="9" scale="90" orientation="landscape" r:id="rId1"/>
  <headerFooter>
    <oddFooter>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K26"/>
  <sheetViews>
    <sheetView view="pageBreakPreview" zoomScaleSheetLayoutView="100" workbookViewId="0">
      <selection activeCell="H5" sqref="H5"/>
    </sheetView>
  </sheetViews>
  <sheetFormatPr defaultRowHeight="12.75"/>
  <cols>
    <col min="1" max="6" width="12.7109375" style="1" customWidth="1"/>
    <col min="7" max="7" width="60.7109375" style="1" customWidth="1"/>
    <col min="8" max="8" width="19.7109375" style="1" customWidth="1"/>
    <col min="9" max="9" width="9.140625" style="1"/>
    <col min="10" max="10" width="11.140625" style="1" bestFit="1" customWidth="1"/>
    <col min="11" max="256" width="9.140625" style="1"/>
    <col min="257" max="257" width="7.7109375" style="1" customWidth="1"/>
    <col min="258" max="258" width="10.5703125" style="1" customWidth="1"/>
    <col min="259" max="259" width="11.140625" style="1" bestFit="1" customWidth="1"/>
    <col min="260" max="260" width="22.140625" style="1" bestFit="1" customWidth="1"/>
    <col min="261" max="261" width="12.28515625" style="1" customWidth="1"/>
    <col min="262" max="262" width="12.5703125" style="1" customWidth="1"/>
    <col min="263" max="263" width="12.140625" style="1" customWidth="1"/>
    <col min="264" max="264" width="19.7109375" style="1" customWidth="1"/>
    <col min="265" max="512" width="9.140625" style="1"/>
    <col min="513" max="513" width="7.7109375" style="1" customWidth="1"/>
    <col min="514" max="514" width="10.5703125" style="1" customWidth="1"/>
    <col min="515" max="515" width="11.140625" style="1" bestFit="1" customWidth="1"/>
    <col min="516" max="516" width="22.140625" style="1" bestFit="1" customWidth="1"/>
    <col min="517" max="517" width="12.28515625" style="1" customWidth="1"/>
    <col min="518" max="518" width="12.5703125" style="1" customWidth="1"/>
    <col min="519" max="519" width="12.140625" style="1" customWidth="1"/>
    <col min="520" max="520" width="19.7109375" style="1" customWidth="1"/>
    <col min="521" max="768" width="9.140625" style="1"/>
    <col min="769" max="769" width="7.7109375" style="1" customWidth="1"/>
    <col min="770" max="770" width="10.5703125" style="1" customWidth="1"/>
    <col min="771" max="771" width="11.140625" style="1" bestFit="1" customWidth="1"/>
    <col min="772" max="772" width="22.140625" style="1" bestFit="1" customWidth="1"/>
    <col min="773" max="773" width="12.28515625" style="1" customWidth="1"/>
    <col min="774" max="774" width="12.5703125" style="1" customWidth="1"/>
    <col min="775" max="775" width="12.140625" style="1" customWidth="1"/>
    <col min="776" max="776" width="19.7109375" style="1" customWidth="1"/>
    <col min="777" max="1024" width="9.140625" style="1"/>
    <col min="1025" max="1025" width="7.7109375" style="1" customWidth="1"/>
    <col min="1026" max="1026" width="10.5703125" style="1" customWidth="1"/>
    <col min="1027" max="1027" width="11.140625" style="1" bestFit="1" customWidth="1"/>
    <col min="1028" max="1028" width="22.140625" style="1" bestFit="1" customWidth="1"/>
    <col min="1029" max="1029" width="12.28515625" style="1" customWidth="1"/>
    <col min="1030" max="1030" width="12.5703125" style="1" customWidth="1"/>
    <col min="1031" max="1031" width="12.140625" style="1" customWidth="1"/>
    <col min="1032" max="1032" width="19.7109375" style="1" customWidth="1"/>
    <col min="1033" max="1280" width="9.140625" style="1"/>
    <col min="1281" max="1281" width="7.7109375" style="1" customWidth="1"/>
    <col min="1282" max="1282" width="10.5703125" style="1" customWidth="1"/>
    <col min="1283" max="1283" width="11.140625" style="1" bestFit="1" customWidth="1"/>
    <col min="1284" max="1284" width="22.140625" style="1" bestFit="1" customWidth="1"/>
    <col min="1285" max="1285" width="12.28515625" style="1" customWidth="1"/>
    <col min="1286" max="1286" width="12.5703125" style="1" customWidth="1"/>
    <col min="1287" max="1287" width="12.140625" style="1" customWidth="1"/>
    <col min="1288" max="1288" width="19.7109375" style="1" customWidth="1"/>
    <col min="1289" max="1536" width="9.140625" style="1"/>
    <col min="1537" max="1537" width="7.7109375" style="1" customWidth="1"/>
    <col min="1538" max="1538" width="10.5703125" style="1" customWidth="1"/>
    <col min="1539" max="1539" width="11.140625" style="1" bestFit="1" customWidth="1"/>
    <col min="1540" max="1540" width="22.140625" style="1" bestFit="1" customWidth="1"/>
    <col min="1541" max="1541" width="12.28515625" style="1" customWidth="1"/>
    <col min="1542" max="1542" width="12.5703125" style="1" customWidth="1"/>
    <col min="1543" max="1543" width="12.140625" style="1" customWidth="1"/>
    <col min="1544" max="1544" width="19.7109375" style="1" customWidth="1"/>
    <col min="1545" max="1792" width="9.140625" style="1"/>
    <col min="1793" max="1793" width="7.7109375" style="1" customWidth="1"/>
    <col min="1794" max="1794" width="10.5703125" style="1" customWidth="1"/>
    <col min="1795" max="1795" width="11.140625" style="1" bestFit="1" customWidth="1"/>
    <col min="1796" max="1796" width="22.140625" style="1" bestFit="1" customWidth="1"/>
    <col min="1797" max="1797" width="12.28515625" style="1" customWidth="1"/>
    <col min="1798" max="1798" width="12.5703125" style="1" customWidth="1"/>
    <col min="1799" max="1799" width="12.140625" style="1" customWidth="1"/>
    <col min="1800" max="1800" width="19.7109375" style="1" customWidth="1"/>
    <col min="1801" max="2048" width="9.140625" style="1"/>
    <col min="2049" max="2049" width="7.7109375" style="1" customWidth="1"/>
    <col min="2050" max="2050" width="10.5703125" style="1" customWidth="1"/>
    <col min="2051" max="2051" width="11.140625" style="1" bestFit="1" customWidth="1"/>
    <col min="2052" max="2052" width="22.140625" style="1" bestFit="1" customWidth="1"/>
    <col min="2053" max="2053" width="12.28515625" style="1" customWidth="1"/>
    <col min="2054" max="2054" width="12.5703125" style="1" customWidth="1"/>
    <col min="2055" max="2055" width="12.140625" style="1" customWidth="1"/>
    <col min="2056" max="2056" width="19.7109375" style="1" customWidth="1"/>
    <col min="2057" max="2304" width="9.140625" style="1"/>
    <col min="2305" max="2305" width="7.7109375" style="1" customWidth="1"/>
    <col min="2306" max="2306" width="10.5703125" style="1" customWidth="1"/>
    <col min="2307" max="2307" width="11.140625" style="1" bestFit="1" customWidth="1"/>
    <col min="2308" max="2308" width="22.140625" style="1" bestFit="1" customWidth="1"/>
    <col min="2309" max="2309" width="12.28515625" style="1" customWidth="1"/>
    <col min="2310" max="2310" width="12.5703125" style="1" customWidth="1"/>
    <col min="2311" max="2311" width="12.140625" style="1" customWidth="1"/>
    <col min="2312" max="2312" width="19.7109375" style="1" customWidth="1"/>
    <col min="2313" max="2560" width="9.140625" style="1"/>
    <col min="2561" max="2561" width="7.7109375" style="1" customWidth="1"/>
    <col min="2562" max="2562" width="10.5703125" style="1" customWidth="1"/>
    <col min="2563" max="2563" width="11.140625" style="1" bestFit="1" customWidth="1"/>
    <col min="2564" max="2564" width="22.140625" style="1" bestFit="1" customWidth="1"/>
    <col min="2565" max="2565" width="12.28515625" style="1" customWidth="1"/>
    <col min="2566" max="2566" width="12.5703125" style="1" customWidth="1"/>
    <col min="2567" max="2567" width="12.140625" style="1" customWidth="1"/>
    <col min="2568" max="2568" width="19.7109375" style="1" customWidth="1"/>
    <col min="2569" max="2816" width="9.140625" style="1"/>
    <col min="2817" max="2817" width="7.7109375" style="1" customWidth="1"/>
    <col min="2818" max="2818" width="10.5703125" style="1" customWidth="1"/>
    <col min="2819" max="2819" width="11.140625" style="1" bestFit="1" customWidth="1"/>
    <col min="2820" max="2820" width="22.140625" style="1" bestFit="1" customWidth="1"/>
    <col min="2821" max="2821" width="12.28515625" style="1" customWidth="1"/>
    <col min="2822" max="2822" width="12.5703125" style="1" customWidth="1"/>
    <col min="2823" max="2823" width="12.140625" style="1" customWidth="1"/>
    <col min="2824" max="2824" width="19.7109375" style="1" customWidth="1"/>
    <col min="2825" max="3072" width="9.140625" style="1"/>
    <col min="3073" max="3073" width="7.7109375" style="1" customWidth="1"/>
    <col min="3074" max="3074" width="10.5703125" style="1" customWidth="1"/>
    <col min="3075" max="3075" width="11.140625" style="1" bestFit="1" customWidth="1"/>
    <col min="3076" max="3076" width="22.140625" style="1" bestFit="1" customWidth="1"/>
    <col min="3077" max="3077" width="12.28515625" style="1" customWidth="1"/>
    <col min="3078" max="3078" width="12.5703125" style="1" customWidth="1"/>
    <col min="3079" max="3079" width="12.140625" style="1" customWidth="1"/>
    <col min="3080" max="3080" width="19.7109375" style="1" customWidth="1"/>
    <col min="3081" max="3328" width="9.140625" style="1"/>
    <col min="3329" max="3329" width="7.7109375" style="1" customWidth="1"/>
    <col min="3330" max="3330" width="10.5703125" style="1" customWidth="1"/>
    <col min="3331" max="3331" width="11.140625" style="1" bestFit="1" customWidth="1"/>
    <col min="3332" max="3332" width="22.140625" style="1" bestFit="1" customWidth="1"/>
    <col min="3333" max="3333" width="12.28515625" style="1" customWidth="1"/>
    <col min="3334" max="3334" width="12.5703125" style="1" customWidth="1"/>
    <col min="3335" max="3335" width="12.140625" style="1" customWidth="1"/>
    <col min="3336" max="3336" width="19.7109375" style="1" customWidth="1"/>
    <col min="3337" max="3584" width="9.140625" style="1"/>
    <col min="3585" max="3585" width="7.7109375" style="1" customWidth="1"/>
    <col min="3586" max="3586" width="10.5703125" style="1" customWidth="1"/>
    <col min="3587" max="3587" width="11.140625" style="1" bestFit="1" customWidth="1"/>
    <col min="3588" max="3588" width="22.140625" style="1" bestFit="1" customWidth="1"/>
    <col min="3589" max="3589" width="12.28515625" style="1" customWidth="1"/>
    <col min="3590" max="3590" width="12.5703125" style="1" customWidth="1"/>
    <col min="3591" max="3591" width="12.140625" style="1" customWidth="1"/>
    <col min="3592" max="3592" width="19.7109375" style="1" customWidth="1"/>
    <col min="3593" max="3840" width="9.140625" style="1"/>
    <col min="3841" max="3841" width="7.7109375" style="1" customWidth="1"/>
    <col min="3842" max="3842" width="10.5703125" style="1" customWidth="1"/>
    <col min="3843" max="3843" width="11.140625" style="1" bestFit="1" customWidth="1"/>
    <col min="3844" max="3844" width="22.140625" style="1" bestFit="1" customWidth="1"/>
    <col min="3845" max="3845" width="12.28515625" style="1" customWidth="1"/>
    <col min="3846" max="3846" width="12.5703125" style="1" customWidth="1"/>
    <col min="3847" max="3847" width="12.140625" style="1" customWidth="1"/>
    <col min="3848" max="3848" width="19.7109375" style="1" customWidth="1"/>
    <col min="3849" max="4096" width="9.140625" style="1"/>
    <col min="4097" max="4097" width="7.7109375" style="1" customWidth="1"/>
    <col min="4098" max="4098" width="10.5703125" style="1" customWidth="1"/>
    <col min="4099" max="4099" width="11.140625" style="1" bestFit="1" customWidth="1"/>
    <col min="4100" max="4100" width="22.140625" style="1" bestFit="1" customWidth="1"/>
    <col min="4101" max="4101" width="12.28515625" style="1" customWidth="1"/>
    <col min="4102" max="4102" width="12.5703125" style="1" customWidth="1"/>
    <col min="4103" max="4103" width="12.140625" style="1" customWidth="1"/>
    <col min="4104" max="4104" width="19.7109375" style="1" customWidth="1"/>
    <col min="4105" max="4352" width="9.140625" style="1"/>
    <col min="4353" max="4353" width="7.7109375" style="1" customWidth="1"/>
    <col min="4354" max="4354" width="10.5703125" style="1" customWidth="1"/>
    <col min="4355" max="4355" width="11.140625" style="1" bestFit="1" customWidth="1"/>
    <col min="4356" max="4356" width="22.140625" style="1" bestFit="1" customWidth="1"/>
    <col min="4357" max="4357" width="12.28515625" style="1" customWidth="1"/>
    <col min="4358" max="4358" width="12.5703125" style="1" customWidth="1"/>
    <col min="4359" max="4359" width="12.140625" style="1" customWidth="1"/>
    <col min="4360" max="4360" width="19.7109375" style="1" customWidth="1"/>
    <col min="4361" max="4608" width="9.140625" style="1"/>
    <col min="4609" max="4609" width="7.7109375" style="1" customWidth="1"/>
    <col min="4610" max="4610" width="10.5703125" style="1" customWidth="1"/>
    <col min="4611" max="4611" width="11.140625" style="1" bestFit="1" customWidth="1"/>
    <col min="4612" max="4612" width="22.140625" style="1" bestFit="1" customWidth="1"/>
    <col min="4613" max="4613" width="12.28515625" style="1" customWidth="1"/>
    <col min="4614" max="4614" width="12.5703125" style="1" customWidth="1"/>
    <col min="4615" max="4615" width="12.140625" style="1" customWidth="1"/>
    <col min="4616" max="4616" width="19.7109375" style="1" customWidth="1"/>
    <col min="4617" max="4864" width="9.140625" style="1"/>
    <col min="4865" max="4865" width="7.7109375" style="1" customWidth="1"/>
    <col min="4866" max="4866" width="10.5703125" style="1" customWidth="1"/>
    <col min="4867" max="4867" width="11.140625" style="1" bestFit="1" customWidth="1"/>
    <col min="4868" max="4868" width="22.140625" style="1" bestFit="1" customWidth="1"/>
    <col min="4869" max="4869" width="12.28515625" style="1" customWidth="1"/>
    <col min="4870" max="4870" width="12.5703125" style="1" customWidth="1"/>
    <col min="4871" max="4871" width="12.140625" style="1" customWidth="1"/>
    <col min="4872" max="4872" width="19.7109375" style="1" customWidth="1"/>
    <col min="4873" max="5120" width="9.140625" style="1"/>
    <col min="5121" max="5121" width="7.7109375" style="1" customWidth="1"/>
    <col min="5122" max="5122" width="10.5703125" style="1" customWidth="1"/>
    <col min="5123" max="5123" width="11.140625" style="1" bestFit="1" customWidth="1"/>
    <col min="5124" max="5124" width="22.140625" style="1" bestFit="1" customWidth="1"/>
    <col min="5125" max="5125" width="12.28515625" style="1" customWidth="1"/>
    <col min="5126" max="5126" width="12.5703125" style="1" customWidth="1"/>
    <col min="5127" max="5127" width="12.140625" style="1" customWidth="1"/>
    <col min="5128" max="5128" width="19.7109375" style="1" customWidth="1"/>
    <col min="5129" max="5376" width="9.140625" style="1"/>
    <col min="5377" max="5377" width="7.7109375" style="1" customWidth="1"/>
    <col min="5378" max="5378" width="10.5703125" style="1" customWidth="1"/>
    <col min="5379" max="5379" width="11.140625" style="1" bestFit="1" customWidth="1"/>
    <col min="5380" max="5380" width="22.140625" style="1" bestFit="1" customWidth="1"/>
    <col min="5381" max="5381" width="12.28515625" style="1" customWidth="1"/>
    <col min="5382" max="5382" width="12.5703125" style="1" customWidth="1"/>
    <col min="5383" max="5383" width="12.140625" style="1" customWidth="1"/>
    <col min="5384" max="5384" width="19.7109375" style="1" customWidth="1"/>
    <col min="5385" max="5632" width="9.140625" style="1"/>
    <col min="5633" max="5633" width="7.7109375" style="1" customWidth="1"/>
    <col min="5634" max="5634" width="10.5703125" style="1" customWidth="1"/>
    <col min="5635" max="5635" width="11.140625" style="1" bestFit="1" customWidth="1"/>
    <col min="5636" max="5636" width="22.140625" style="1" bestFit="1" customWidth="1"/>
    <col min="5637" max="5637" width="12.28515625" style="1" customWidth="1"/>
    <col min="5638" max="5638" width="12.5703125" style="1" customWidth="1"/>
    <col min="5639" max="5639" width="12.140625" style="1" customWidth="1"/>
    <col min="5640" max="5640" width="19.7109375" style="1" customWidth="1"/>
    <col min="5641" max="5888" width="9.140625" style="1"/>
    <col min="5889" max="5889" width="7.7109375" style="1" customWidth="1"/>
    <col min="5890" max="5890" width="10.5703125" style="1" customWidth="1"/>
    <col min="5891" max="5891" width="11.140625" style="1" bestFit="1" customWidth="1"/>
    <col min="5892" max="5892" width="22.140625" style="1" bestFit="1" customWidth="1"/>
    <col min="5893" max="5893" width="12.28515625" style="1" customWidth="1"/>
    <col min="5894" max="5894" width="12.5703125" style="1" customWidth="1"/>
    <col min="5895" max="5895" width="12.140625" style="1" customWidth="1"/>
    <col min="5896" max="5896" width="19.7109375" style="1" customWidth="1"/>
    <col min="5897" max="6144" width="9.140625" style="1"/>
    <col min="6145" max="6145" width="7.7109375" style="1" customWidth="1"/>
    <col min="6146" max="6146" width="10.5703125" style="1" customWidth="1"/>
    <col min="6147" max="6147" width="11.140625" style="1" bestFit="1" customWidth="1"/>
    <col min="6148" max="6148" width="22.140625" style="1" bestFit="1" customWidth="1"/>
    <col min="6149" max="6149" width="12.28515625" style="1" customWidth="1"/>
    <col min="6150" max="6150" width="12.5703125" style="1" customWidth="1"/>
    <col min="6151" max="6151" width="12.140625" style="1" customWidth="1"/>
    <col min="6152" max="6152" width="19.7109375" style="1" customWidth="1"/>
    <col min="6153" max="6400" width="9.140625" style="1"/>
    <col min="6401" max="6401" width="7.7109375" style="1" customWidth="1"/>
    <col min="6402" max="6402" width="10.5703125" style="1" customWidth="1"/>
    <col min="6403" max="6403" width="11.140625" style="1" bestFit="1" customWidth="1"/>
    <col min="6404" max="6404" width="22.140625" style="1" bestFit="1" customWidth="1"/>
    <col min="6405" max="6405" width="12.28515625" style="1" customWidth="1"/>
    <col min="6406" max="6406" width="12.5703125" style="1" customWidth="1"/>
    <col min="6407" max="6407" width="12.140625" style="1" customWidth="1"/>
    <col min="6408" max="6408" width="19.7109375" style="1" customWidth="1"/>
    <col min="6409" max="6656" width="9.140625" style="1"/>
    <col min="6657" max="6657" width="7.7109375" style="1" customWidth="1"/>
    <col min="6658" max="6658" width="10.5703125" style="1" customWidth="1"/>
    <col min="6659" max="6659" width="11.140625" style="1" bestFit="1" customWidth="1"/>
    <col min="6660" max="6660" width="22.140625" style="1" bestFit="1" customWidth="1"/>
    <col min="6661" max="6661" width="12.28515625" style="1" customWidth="1"/>
    <col min="6662" max="6662" width="12.5703125" style="1" customWidth="1"/>
    <col min="6663" max="6663" width="12.140625" style="1" customWidth="1"/>
    <col min="6664" max="6664" width="19.7109375" style="1" customWidth="1"/>
    <col min="6665" max="6912" width="9.140625" style="1"/>
    <col min="6913" max="6913" width="7.7109375" style="1" customWidth="1"/>
    <col min="6914" max="6914" width="10.5703125" style="1" customWidth="1"/>
    <col min="6915" max="6915" width="11.140625" style="1" bestFit="1" customWidth="1"/>
    <col min="6916" max="6916" width="22.140625" style="1" bestFit="1" customWidth="1"/>
    <col min="6917" max="6917" width="12.28515625" style="1" customWidth="1"/>
    <col min="6918" max="6918" width="12.5703125" style="1" customWidth="1"/>
    <col min="6919" max="6919" width="12.140625" style="1" customWidth="1"/>
    <col min="6920" max="6920" width="19.7109375" style="1" customWidth="1"/>
    <col min="6921" max="7168" width="9.140625" style="1"/>
    <col min="7169" max="7169" width="7.7109375" style="1" customWidth="1"/>
    <col min="7170" max="7170" width="10.5703125" style="1" customWidth="1"/>
    <col min="7171" max="7171" width="11.140625" style="1" bestFit="1" customWidth="1"/>
    <col min="7172" max="7172" width="22.140625" style="1" bestFit="1" customWidth="1"/>
    <col min="7173" max="7173" width="12.28515625" style="1" customWidth="1"/>
    <col min="7174" max="7174" width="12.5703125" style="1" customWidth="1"/>
    <col min="7175" max="7175" width="12.140625" style="1" customWidth="1"/>
    <col min="7176" max="7176" width="19.7109375" style="1" customWidth="1"/>
    <col min="7177" max="7424" width="9.140625" style="1"/>
    <col min="7425" max="7425" width="7.7109375" style="1" customWidth="1"/>
    <col min="7426" max="7426" width="10.5703125" style="1" customWidth="1"/>
    <col min="7427" max="7427" width="11.140625" style="1" bestFit="1" customWidth="1"/>
    <col min="7428" max="7428" width="22.140625" style="1" bestFit="1" customWidth="1"/>
    <col min="7429" max="7429" width="12.28515625" style="1" customWidth="1"/>
    <col min="7430" max="7430" width="12.5703125" style="1" customWidth="1"/>
    <col min="7431" max="7431" width="12.140625" style="1" customWidth="1"/>
    <col min="7432" max="7432" width="19.7109375" style="1" customWidth="1"/>
    <col min="7433" max="7680" width="9.140625" style="1"/>
    <col min="7681" max="7681" width="7.7109375" style="1" customWidth="1"/>
    <col min="7682" max="7682" width="10.5703125" style="1" customWidth="1"/>
    <col min="7683" max="7683" width="11.140625" style="1" bestFit="1" customWidth="1"/>
    <col min="7684" max="7684" width="22.140625" style="1" bestFit="1" customWidth="1"/>
    <col min="7685" max="7685" width="12.28515625" style="1" customWidth="1"/>
    <col min="7686" max="7686" width="12.5703125" style="1" customWidth="1"/>
    <col min="7687" max="7687" width="12.140625" style="1" customWidth="1"/>
    <col min="7688" max="7688" width="19.7109375" style="1" customWidth="1"/>
    <col min="7689" max="7936" width="9.140625" style="1"/>
    <col min="7937" max="7937" width="7.7109375" style="1" customWidth="1"/>
    <col min="7938" max="7938" width="10.5703125" style="1" customWidth="1"/>
    <col min="7939" max="7939" width="11.140625" style="1" bestFit="1" customWidth="1"/>
    <col min="7940" max="7940" width="22.140625" style="1" bestFit="1" customWidth="1"/>
    <col min="7941" max="7941" width="12.28515625" style="1" customWidth="1"/>
    <col min="7942" max="7942" width="12.5703125" style="1" customWidth="1"/>
    <col min="7943" max="7943" width="12.140625" style="1" customWidth="1"/>
    <col min="7944" max="7944" width="19.7109375" style="1" customWidth="1"/>
    <col min="7945" max="8192" width="9.140625" style="1"/>
    <col min="8193" max="8193" width="7.7109375" style="1" customWidth="1"/>
    <col min="8194" max="8194" width="10.5703125" style="1" customWidth="1"/>
    <col min="8195" max="8195" width="11.140625" style="1" bestFit="1" customWidth="1"/>
    <col min="8196" max="8196" width="22.140625" style="1" bestFit="1" customWidth="1"/>
    <col min="8197" max="8197" width="12.28515625" style="1" customWidth="1"/>
    <col min="8198" max="8198" width="12.5703125" style="1" customWidth="1"/>
    <col min="8199" max="8199" width="12.140625" style="1" customWidth="1"/>
    <col min="8200" max="8200" width="19.7109375" style="1" customWidth="1"/>
    <col min="8201" max="8448" width="9.140625" style="1"/>
    <col min="8449" max="8449" width="7.7109375" style="1" customWidth="1"/>
    <col min="8450" max="8450" width="10.5703125" style="1" customWidth="1"/>
    <col min="8451" max="8451" width="11.140625" style="1" bestFit="1" customWidth="1"/>
    <col min="8452" max="8452" width="22.140625" style="1" bestFit="1" customWidth="1"/>
    <col min="8453" max="8453" width="12.28515625" style="1" customWidth="1"/>
    <col min="8454" max="8454" width="12.5703125" style="1" customWidth="1"/>
    <col min="8455" max="8455" width="12.140625" style="1" customWidth="1"/>
    <col min="8456" max="8456" width="19.7109375" style="1" customWidth="1"/>
    <col min="8457" max="8704" width="9.140625" style="1"/>
    <col min="8705" max="8705" width="7.7109375" style="1" customWidth="1"/>
    <col min="8706" max="8706" width="10.5703125" style="1" customWidth="1"/>
    <col min="8707" max="8707" width="11.140625" style="1" bestFit="1" customWidth="1"/>
    <col min="8708" max="8708" width="22.140625" style="1" bestFit="1" customWidth="1"/>
    <col min="8709" max="8709" width="12.28515625" style="1" customWidth="1"/>
    <col min="8710" max="8710" width="12.5703125" style="1" customWidth="1"/>
    <col min="8711" max="8711" width="12.140625" style="1" customWidth="1"/>
    <col min="8712" max="8712" width="19.7109375" style="1" customWidth="1"/>
    <col min="8713" max="8960" width="9.140625" style="1"/>
    <col min="8961" max="8961" width="7.7109375" style="1" customWidth="1"/>
    <col min="8962" max="8962" width="10.5703125" style="1" customWidth="1"/>
    <col min="8963" max="8963" width="11.140625" style="1" bestFit="1" customWidth="1"/>
    <col min="8964" max="8964" width="22.140625" style="1" bestFit="1" customWidth="1"/>
    <col min="8965" max="8965" width="12.28515625" style="1" customWidth="1"/>
    <col min="8966" max="8966" width="12.5703125" style="1" customWidth="1"/>
    <col min="8967" max="8967" width="12.140625" style="1" customWidth="1"/>
    <col min="8968" max="8968" width="19.7109375" style="1" customWidth="1"/>
    <col min="8969" max="9216" width="9.140625" style="1"/>
    <col min="9217" max="9217" width="7.7109375" style="1" customWidth="1"/>
    <col min="9218" max="9218" width="10.5703125" style="1" customWidth="1"/>
    <col min="9219" max="9219" width="11.140625" style="1" bestFit="1" customWidth="1"/>
    <col min="9220" max="9220" width="22.140625" style="1" bestFit="1" customWidth="1"/>
    <col min="9221" max="9221" width="12.28515625" style="1" customWidth="1"/>
    <col min="9222" max="9222" width="12.5703125" style="1" customWidth="1"/>
    <col min="9223" max="9223" width="12.140625" style="1" customWidth="1"/>
    <col min="9224" max="9224" width="19.7109375" style="1" customWidth="1"/>
    <col min="9225" max="9472" width="9.140625" style="1"/>
    <col min="9473" max="9473" width="7.7109375" style="1" customWidth="1"/>
    <col min="9474" max="9474" width="10.5703125" style="1" customWidth="1"/>
    <col min="9475" max="9475" width="11.140625" style="1" bestFit="1" customWidth="1"/>
    <col min="9476" max="9476" width="22.140625" style="1" bestFit="1" customWidth="1"/>
    <col min="9477" max="9477" width="12.28515625" style="1" customWidth="1"/>
    <col min="9478" max="9478" width="12.5703125" style="1" customWidth="1"/>
    <col min="9479" max="9479" width="12.140625" style="1" customWidth="1"/>
    <col min="9480" max="9480" width="19.7109375" style="1" customWidth="1"/>
    <col min="9481" max="9728" width="9.140625" style="1"/>
    <col min="9729" max="9729" width="7.7109375" style="1" customWidth="1"/>
    <col min="9730" max="9730" width="10.5703125" style="1" customWidth="1"/>
    <col min="9731" max="9731" width="11.140625" style="1" bestFit="1" customWidth="1"/>
    <col min="9732" max="9732" width="22.140625" style="1" bestFit="1" customWidth="1"/>
    <col min="9733" max="9733" width="12.28515625" style="1" customWidth="1"/>
    <col min="9734" max="9734" width="12.5703125" style="1" customWidth="1"/>
    <col min="9735" max="9735" width="12.140625" style="1" customWidth="1"/>
    <col min="9736" max="9736" width="19.7109375" style="1" customWidth="1"/>
    <col min="9737" max="9984" width="9.140625" style="1"/>
    <col min="9985" max="9985" width="7.7109375" style="1" customWidth="1"/>
    <col min="9986" max="9986" width="10.5703125" style="1" customWidth="1"/>
    <col min="9987" max="9987" width="11.140625" style="1" bestFit="1" customWidth="1"/>
    <col min="9988" max="9988" width="22.140625" style="1" bestFit="1" customWidth="1"/>
    <col min="9989" max="9989" width="12.28515625" style="1" customWidth="1"/>
    <col min="9990" max="9990" width="12.5703125" style="1" customWidth="1"/>
    <col min="9991" max="9991" width="12.140625" style="1" customWidth="1"/>
    <col min="9992" max="9992" width="19.7109375" style="1" customWidth="1"/>
    <col min="9993" max="10240" width="9.140625" style="1"/>
    <col min="10241" max="10241" width="7.7109375" style="1" customWidth="1"/>
    <col min="10242" max="10242" width="10.5703125" style="1" customWidth="1"/>
    <col min="10243" max="10243" width="11.140625" style="1" bestFit="1" customWidth="1"/>
    <col min="10244" max="10244" width="22.140625" style="1" bestFit="1" customWidth="1"/>
    <col min="10245" max="10245" width="12.28515625" style="1" customWidth="1"/>
    <col min="10246" max="10246" width="12.5703125" style="1" customWidth="1"/>
    <col min="10247" max="10247" width="12.140625" style="1" customWidth="1"/>
    <col min="10248" max="10248" width="19.7109375" style="1" customWidth="1"/>
    <col min="10249" max="10496" width="9.140625" style="1"/>
    <col min="10497" max="10497" width="7.7109375" style="1" customWidth="1"/>
    <col min="10498" max="10498" width="10.5703125" style="1" customWidth="1"/>
    <col min="10499" max="10499" width="11.140625" style="1" bestFit="1" customWidth="1"/>
    <col min="10500" max="10500" width="22.140625" style="1" bestFit="1" customWidth="1"/>
    <col min="10501" max="10501" width="12.28515625" style="1" customWidth="1"/>
    <col min="10502" max="10502" width="12.5703125" style="1" customWidth="1"/>
    <col min="10503" max="10503" width="12.140625" style="1" customWidth="1"/>
    <col min="10504" max="10504" width="19.7109375" style="1" customWidth="1"/>
    <col min="10505" max="10752" width="9.140625" style="1"/>
    <col min="10753" max="10753" width="7.7109375" style="1" customWidth="1"/>
    <col min="10754" max="10754" width="10.5703125" style="1" customWidth="1"/>
    <col min="10755" max="10755" width="11.140625" style="1" bestFit="1" customWidth="1"/>
    <col min="10756" max="10756" width="22.140625" style="1" bestFit="1" customWidth="1"/>
    <col min="10757" max="10757" width="12.28515625" style="1" customWidth="1"/>
    <col min="10758" max="10758" width="12.5703125" style="1" customWidth="1"/>
    <col min="10759" max="10759" width="12.140625" style="1" customWidth="1"/>
    <col min="10760" max="10760" width="19.7109375" style="1" customWidth="1"/>
    <col min="10761" max="11008" width="9.140625" style="1"/>
    <col min="11009" max="11009" width="7.7109375" style="1" customWidth="1"/>
    <col min="11010" max="11010" width="10.5703125" style="1" customWidth="1"/>
    <col min="11011" max="11011" width="11.140625" style="1" bestFit="1" customWidth="1"/>
    <col min="11012" max="11012" width="22.140625" style="1" bestFit="1" customWidth="1"/>
    <col min="11013" max="11013" width="12.28515625" style="1" customWidth="1"/>
    <col min="11014" max="11014" width="12.5703125" style="1" customWidth="1"/>
    <col min="11015" max="11015" width="12.140625" style="1" customWidth="1"/>
    <col min="11016" max="11016" width="19.7109375" style="1" customWidth="1"/>
    <col min="11017" max="11264" width="9.140625" style="1"/>
    <col min="11265" max="11265" width="7.7109375" style="1" customWidth="1"/>
    <col min="11266" max="11266" width="10.5703125" style="1" customWidth="1"/>
    <col min="11267" max="11267" width="11.140625" style="1" bestFit="1" customWidth="1"/>
    <col min="11268" max="11268" width="22.140625" style="1" bestFit="1" customWidth="1"/>
    <col min="11269" max="11269" width="12.28515625" style="1" customWidth="1"/>
    <col min="11270" max="11270" width="12.5703125" style="1" customWidth="1"/>
    <col min="11271" max="11271" width="12.140625" style="1" customWidth="1"/>
    <col min="11272" max="11272" width="19.7109375" style="1" customWidth="1"/>
    <col min="11273" max="11520" width="9.140625" style="1"/>
    <col min="11521" max="11521" width="7.7109375" style="1" customWidth="1"/>
    <col min="11522" max="11522" width="10.5703125" style="1" customWidth="1"/>
    <col min="11523" max="11523" width="11.140625" style="1" bestFit="1" customWidth="1"/>
    <col min="11524" max="11524" width="22.140625" style="1" bestFit="1" customWidth="1"/>
    <col min="11525" max="11525" width="12.28515625" style="1" customWidth="1"/>
    <col min="11526" max="11526" width="12.5703125" style="1" customWidth="1"/>
    <col min="11527" max="11527" width="12.140625" style="1" customWidth="1"/>
    <col min="11528" max="11528" width="19.7109375" style="1" customWidth="1"/>
    <col min="11529" max="11776" width="9.140625" style="1"/>
    <col min="11777" max="11777" width="7.7109375" style="1" customWidth="1"/>
    <col min="11778" max="11778" width="10.5703125" style="1" customWidth="1"/>
    <col min="11779" max="11779" width="11.140625" style="1" bestFit="1" customWidth="1"/>
    <col min="11780" max="11780" width="22.140625" style="1" bestFit="1" customWidth="1"/>
    <col min="11781" max="11781" width="12.28515625" style="1" customWidth="1"/>
    <col min="11782" max="11782" width="12.5703125" style="1" customWidth="1"/>
    <col min="11783" max="11783" width="12.140625" style="1" customWidth="1"/>
    <col min="11784" max="11784" width="19.7109375" style="1" customWidth="1"/>
    <col min="11785" max="12032" width="9.140625" style="1"/>
    <col min="12033" max="12033" width="7.7109375" style="1" customWidth="1"/>
    <col min="12034" max="12034" width="10.5703125" style="1" customWidth="1"/>
    <col min="12035" max="12035" width="11.140625" style="1" bestFit="1" customWidth="1"/>
    <col min="12036" max="12036" width="22.140625" style="1" bestFit="1" customWidth="1"/>
    <col min="12037" max="12037" width="12.28515625" style="1" customWidth="1"/>
    <col min="12038" max="12038" width="12.5703125" style="1" customWidth="1"/>
    <col min="12039" max="12039" width="12.140625" style="1" customWidth="1"/>
    <col min="12040" max="12040" width="19.7109375" style="1" customWidth="1"/>
    <col min="12041" max="12288" width="9.140625" style="1"/>
    <col min="12289" max="12289" width="7.7109375" style="1" customWidth="1"/>
    <col min="12290" max="12290" width="10.5703125" style="1" customWidth="1"/>
    <col min="12291" max="12291" width="11.140625" style="1" bestFit="1" customWidth="1"/>
    <col min="12292" max="12292" width="22.140625" style="1" bestFit="1" customWidth="1"/>
    <col min="12293" max="12293" width="12.28515625" style="1" customWidth="1"/>
    <col min="12294" max="12294" width="12.5703125" style="1" customWidth="1"/>
    <col min="12295" max="12295" width="12.140625" style="1" customWidth="1"/>
    <col min="12296" max="12296" width="19.7109375" style="1" customWidth="1"/>
    <col min="12297" max="12544" width="9.140625" style="1"/>
    <col min="12545" max="12545" width="7.7109375" style="1" customWidth="1"/>
    <col min="12546" max="12546" width="10.5703125" style="1" customWidth="1"/>
    <col min="12547" max="12547" width="11.140625" style="1" bestFit="1" customWidth="1"/>
    <col min="12548" max="12548" width="22.140625" style="1" bestFit="1" customWidth="1"/>
    <col min="12549" max="12549" width="12.28515625" style="1" customWidth="1"/>
    <col min="12550" max="12550" width="12.5703125" style="1" customWidth="1"/>
    <col min="12551" max="12551" width="12.140625" style="1" customWidth="1"/>
    <col min="12552" max="12552" width="19.7109375" style="1" customWidth="1"/>
    <col min="12553" max="12800" width="9.140625" style="1"/>
    <col min="12801" max="12801" width="7.7109375" style="1" customWidth="1"/>
    <col min="12802" max="12802" width="10.5703125" style="1" customWidth="1"/>
    <col min="12803" max="12803" width="11.140625" style="1" bestFit="1" customWidth="1"/>
    <col min="12804" max="12804" width="22.140625" style="1" bestFit="1" customWidth="1"/>
    <col min="12805" max="12805" width="12.28515625" style="1" customWidth="1"/>
    <col min="12806" max="12806" width="12.5703125" style="1" customWidth="1"/>
    <col min="12807" max="12807" width="12.140625" style="1" customWidth="1"/>
    <col min="12808" max="12808" width="19.7109375" style="1" customWidth="1"/>
    <col min="12809" max="13056" width="9.140625" style="1"/>
    <col min="13057" max="13057" width="7.7109375" style="1" customWidth="1"/>
    <col min="13058" max="13058" width="10.5703125" style="1" customWidth="1"/>
    <col min="13059" max="13059" width="11.140625" style="1" bestFit="1" customWidth="1"/>
    <col min="13060" max="13060" width="22.140625" style="1" bestFit="1" customWidth="1"/>
    <col min="13061" max="13061" width="12.28515625" style="1" customWidth="1"/>
    <col min="13062" max="13062" width="12.5703125" style="1" customWidth="1"/>
    <col min="13063" max="13063" width="12.140625" style="1" customWidth="1"/>
    <col min="13064" max="13064" width="19.7109375" style="1" customWidth="1"/>
    <col min="13065" max="13312" width="9.140625" style="1"/>
    <col min="13313" max="13313" width="7.7109375" style="1" customWidth="1"/>
    <col min="13314" max="13314" width="10.5703125" style="1" customWidth="1"/>
    <col min="13315" max="13315" width="11.140625" style="1" bestFit="1" customWidth="1"/>
    <col min="13316" max="13316" width="22.140625" style="1" bestFit="1" customWidth="1"/>
    <col min="13317" max="13317" width="12.28515625" style="1" customWidth="1"/>
    <col min="13318" max="13318" width="12.5703125" style="1" customWidth="1"/>
    <col min="13319" max="13319" width="12.140625" style="1" customWidth="1"/>
    <col min="13320" max="13320" width="19.7109375" style="1" customWidth="1"/>
    <col min="13321" max="13568" width="9.140625" style="1"/>
    <col min="13569" max="13569" width="7.7109375" style="1" customWidth="1"/>
    <col min="13570" max="13570" width="10.5703125" style="1" customWidth="1"/>
    <col min="13571" max="13571" width="11.140625" style="1" bestFit="1" customWidth="1"/>
    <col min="13572" max="13572" width="22.140625" style="1" bestFit="1" customWidth="1"/>
    <col min="13573" max="13573" width="12.28515625" style="1" customWidth="1"/>
    <col min="13574" max="13574" width="12.5703125" style="1" customWidth="1"/>
    <col min="13575" max="13575" width="12.140625" style="1" customWidth="1"/>
    <col min="13576" max="13576" width="19.7109375" style="1" customWidth="1"/>
    <col min="13577" max="13824" width="9.140625" style="1"/>
    <col min="13825" max="13825" width="7.7109375" style="1" customWidth="1"/>
    <col min="13826" max="13826" width="10.5703125" style="1" customWidth="1"/>
    <col min="13827" max="13827" width="11.140625" style="1" bestFit="1" customWidth="1"/>
    <col min="13828" max="13828" width="22.140625" style="1" bestFit="1" customWidth="1"/>
    <col min="13829" max="13829" width="12.28515625" style="1" customWidth="1"/>
    <col min="13830" max="13830" width="12.5703125" style="1" customWidth="1"/>
    <col min="13831" max="13831" width="12.140625" style="1" customWidth="1"/>
    <col min="13832" max="13832" width="19.7109375" style="1" customWidth="1"/>
    <col min="13833" max="14080" width="9.140625" style="1"/>
    <col min="14081" max="14081" width="7.7109375" style="1" customWidth="1"/>
    <col min="14082" max="14082" width="10.5703125" style="1" customWidth="1"/>
    <col min="14083" max="14083" width="11.140625" style="1" bestFit="1" customWidth="1"/>
    <col min="14084" max="14084" width="22.140625" style="1" bestFit="1" customWidth="1"/>
    <col min="14085" max="14085" width="12.28515625" style="1" customWidth="1"/>
    <col min="14086" max="14086" width="12.5703125" style="1" customWidth="1"/>
    <col min="14087" max="14087" width="12.140625" style="1" customWidth="1"/>
    <col min="14088" max="14088" width="19.7109375" style="1" customWidth="1"/>
    <col min="14089" max="14336" width="9.140625" style="1"/>
    <col min="14337" max="14337" width="7.7109375" style="1" customWidth="1"/>
    <col min="14338" max="14338" width="10.5703125" style="1" customWidth="1"/>
    <col min="14339" max="14339" width="11.140625" style="1" bestFit="1" customWidth="1"/>
    <col min="14340" max="14340" width="22.140625" style="1" bestFit="1" customWidth="1"/>
    <col min="14341" max="14341" width="12.28515625" style="1" customWidth="1"/>
    <col min="14342" max="14342" width="12.5703125" style="1" customWidth="1"/>
    <col min="14343" max="14343" width="12.140625" style="1" customWidth="1"/>
    <col min="14344" max="14344" width="19.7109375" style="1" customWidth="1"/>
    <col min="14345" max="14592" width="9.140625" style="1"/>
    <col min="14593" max="14593" width="7.7109375" style="1" customWidth="1"/>
    <col min="14594" max="14594" width="10.5703125" style="1" customWidth="1"/>
    <col min="14595" max="14595" width="11.140625" style="1" bestFit="1" customWidth="1"/>
    <col min="14596" max="14596" width="22.140625" style="1" bestFit="1" customWidth="1"/>
    <col min="14597" max="14597" width="12.28515625" style="1" customWidth="1"/>
    <col min="14598" max="14598" width="12.5703125" style="1" customWidth="1"/>
    <col min="14599" max="14599" width="12.140625" style="1" customWidth="1"/>
    <col min="14600" max="14600" width="19.7109375" style="1" customWidth="1"/>
    <col min="14601" max="14848" width="9.140625" style="1"/>
    <col min="14849" max="14849" width="7.7109375" style="1" customWidth="1"/>
    <col min="14850" max="14850" width="10.5703125" style="1" customWidth="1"/>
    <col min="14851" max="14851" width="11.140625" style="1" bestFit="1" customWidth="1"/>
    <col min="14852" max="14852" width="22.140625" style="1" bestFit="1" customWidth="1"/>
    <col min="14853" max="14853" width="12.28515625" style="1" customWidth="1"/>
    <col min="14854" max="14854" width="12.5703125" style="1" customWidth="1"/>
    <col min="14855" max="14855" width="12.140625" style="1" customWidth="1"/>
    <col min="14856" max="14856" width="19.7109375" style="1" customWidth="1"/>
    <col min="14857" max="15104" width="9.140625" style="1"/>
    <col min="15105" max="15105" width="7.7109375" style="1" customWidth="1"/>
    <col min="15106" max="15106" width="10.5703125" style="1" customWidth="1"/>
    <col min="15107" max="15107" width="11.140625" style="1" bestFit="1" customWidth="1"/>
    <col min="15108" max="15108" width="22.140625" style="1" bestFit="1" customWidth="1"/>
    <col min="15109" max="15109" width="12.28515625" style="1" customWidth="1"/>
    <col min="15110" max="15110" width="12.5703125" style="1" customWidth="1"/>
    <col min="15111" max="15111" width="12.140625" style="1" customWidth="1"/>
    <col min="15112" max="15112" width="19.7109375" style="1" customWidth="1"/>
    <col min="15113" max="15360" width="9.140625" style="1"/>
    <col min="15361" max="15361" width="7.7109375" style="1" customWidth="1"/>
    <col min="15362" max="15362" width="10.5703125" style="1" customWidth="1"/>
    <col min="15363" max="15363" width="11.140625" style="1" bestFit="1" customWidth="1"/>
    <col min="15364" max="15364" width="22.140625" style="1" bestFit="1" customWidth="1"/>
    <col min="15365" max="15365" width="12.28515625" style="1" customWidth="1"/>
    <col min="15366" max="15366" width="12.5703125" style="1" customWidth="1"/>
    <col min="15367" max="15367" width="12.140625" style="1" customWidth="1"/>
    <col min="15368" max="15368" width="19.7109375" style="1" customWidth="1"/>
    <col min="15369" max="15616" width="9.140625" style="1"/>
    <col min="15617" max="15617" width="7.7109375" style="1" customWidth="1"/>
    <col min="15618" max="15618" width="10.5703125" style="1" customWidth="1"/>
    <col min="15619" max="15619" width="11.140625" style="1" bestFit="1" customWidth="1"/>
    <col min="15620" max="15620" width="22.140625" style="1" bestFit="1" customWidth="1"/>
    <col min="15621" max="15621" width="12.28515625" style="1" customWidth="1"/>
    <col min="15622" max="15622" width="12.5703125" style="1" customWidth="1"/>
    <col min="15623" max="15623" width="12.140625" style="1" customWidth="1"/>
    <col min="15624" max="15624" width="19.7109375" style="1" customWidth="1"/>
    <col min="15625" max="15872" width="9.140625" style="1"/>
    <col min="15873" max="15873" width="7.7109375" style="1" customWidth="1"/>
    <col min="15874" max="15874" width="10.5703125" style="1" customWidth="1"/>
    <col min="15875" max="15875" width="11.140625" style="1" bestFit="1" customWidth="1"/>
    <col min="15876" max="15876" width="22.140625" style="1" bestFit="1" customWidth="1"/>
    <col min="15877" max="15877" width="12.28515625" style="1" customWidth="1"/>
    <col min="15878" max="15878" width="12.5703125" style="1" customWidth="1"/>
    <col min="15879" max="15879" width="12.140625" style="1" customWidth="1"/>
    <col min="15880" max="15880" width="19.7109375" style="1" customWidth="1"/>
    <col min="15881" max="16128" width="9.140625" style="1"/>
    <col min="16129" max="16129" width="7.7109375" style="1" customWidth="1"/>
    <col min="16130" max="16130" width="10.5703125" style="1" customWidth="1"/>
    <col min="16131" max="16131" width="11.140625" style="1" bestFit="1" customWidth="1"/>
    <col min="16132" max="16132" width="22.140625" style="1" bestFit="1" customWidth="1"/>
    <col min="16133" max="16133" width="12.28515625" style="1" customWidth="1"/>
    <col min="16134" max="16134" width="12.5703125" style="1" customWidth="1"/>
    <col min="16135" max="16135" width="12.140625" style="1" customWidth="1"/>
    <col min="16136" max="16136" width="19.7109375" style="1" customWidth="1"/>
    <col min="16137" max="16384" width="9.140625" style="1"/>
  </cols>
  <sheetData>
    <row r="1" spans="1:11" ht="48.75" customHeight="1">
      <c r="A1" s="764"/>
      <c r="B1" s="764"/>
      <c r="C1" s="764"/>
      <c r="D1" s="764"/>
      <c r="E1" s="764"/>
      <c r="F1" s="764"/>
      <c r="G1" s="919" t="s">
        <v>1069</v>
      </c>
    </row>
    <row r="2" spans="1:11" ht="40.5" customHeight="1">
      <c r="A2" s="1661" t="s">
        <v>1030</v>
      </c>
      <c r="B2" s="1661"/>
      <c r="C2" s="1661"/>
      <c r="D2" s="1661"/>
      <c r="E2" s="1661"/>
      <c r="F2" s="1661"/>
      <c r="G2" s="1661"/>
    </row>
    <row r="3" spans="1:11" ht="13.5" customHeight="1">
      <c r="A3" s="918"/>
      <c r="B3" s="918"/>
      <c r="C3" s="918"/>
      <c r="D3" s="918"/>
      <c r="E3" s="918"/>
      <c r="F3" s="918"/>
      <c r="G3" s="9" t="s">
        <v>45</v>
      </c>
    </row>
    <row r="4" spans="1:11" s="1029" customFormat="1" ht="20.100000000000001" customHeight="1" thickBot="1">
      <c r="A4" s="1743" t="s">
        <v>49</v>
      </c>
      <c r="B4" s="1743"/>
      <c r="C4" s="1743"/>
      <c r="D4" s="1743"/>
      <c r="E4" s="1743"/>
      <c r="F4" s="1743"/>
      <c r="G4" s="1743"/>
    </row>
    <row r="5" spans="1:11" ht="18" customHeight="1">
      <c r="A5" s="1764" t="s">
        <v>0</v>
      </c>
      <c r="B5" s="1766" t="s">
        <v>1</v>
      </c>
      <c r="C5" s="1766" t="s">
        <v>8</v>
      </c>
      <c r="D5" s="1748" t="s">
        <v>1026</v>
      </c>
      <c r="E5" s="1746" t="s">
        <v>2</v>
      </c>
      <c r="F5" s="1746"/>
      <c r="G5" s="1758" t="s">
        <v>47</v>
      </c>
    </row>
    <row r="6" spans="1:11" ht="18" customHeight="1">
      <c r="A6" s="1765"/>
      <c r="B6" s="1767"/>
      <c r="C6" s="1767"/>
      <c r="D6" s="1749"/>
      <c r="E6" s="1030" t="s">
        <v>44</v>
      </c>
      <c r="F6" s="1030" t="s">
        <v>43</v>
      </c>
      <c r="G6" s="1759"/>
    </row>
    <row r="7" spans="1:11" s="934" customFormat="1" ht="20.100000000000001" customHeight="1">
      <c r="A7" s="1067">
        <v>150</v>
      </c>
      <c r="B7" s="1068">
        <v>15011</v>
      </c>
      <c r="C7" s="1068">
        <v>2009</v>
      </c>
      <c r="D7" s="1069">
        <f t="shared" ref="D7:D12" si="0">SUM(E7:F7)</f>
        <v>750000</v>
      </c>
      <c r="E7" s="1070">
        <v>750000</v>
      </c>
      <c r="F7" s="1070">
        <v>0</v>
      </c>
      <c r="G7" s="1768" t="s">
        <v>1031</v>
      </c>
    </row>
    <row r="8" spans="1:11" s="934" customFormat="1" ht="20.100000000000001" customHeight="1">
      <c r="A8" s="1071">
        <v>600</v>
      </c>
      <c r="B8" s="1072">
        <v>60015</v>
      </c>
      <c r="C8" s="1072">
        <v>6209</v>
      </c>
      <c r="D8" s="1069">
        <f t="shared" si="0"/>
        <v>428997</v>
      </c>
      <c r="E8" s="1073">
        <v>0</v>
      </c>
      <c r="F8" s="1073">
        <v>428997</v>
      </c>
      <c r="G8" s="1769"/>
    </row>
    <row r="9" spans="1:11" s="1077" customFormat="1" ht="20.100000000000001" customHeight="1">
      <c r="A9" s="1041">
        <v>803</v>
      </c>
      <c r="B9" s="1032">
        <v>80306</v>
      </c>
      <c r="C9" s="1032">
        <v>6209</v>
      </c>
      <c r="D9" s="1033">
        <f t="shared" si="0"/>
        <v>2165653</v>
      </c>
      <c r="E9" s="1033">
        <v>0</v>
      </c>
      <c r="F9" s="1074">
        <v>2165653</v>
      </c>
      <c r="G9" s="1769"/>
      <c r="H9" s="1075"/>
      <c r="I9" s="1076"/>
      <c r="J9" s="1076"/>
    </row>
    <row r="10" spans="1:11" s="310" customFormat="1" ht="20.100000000000001" customHeight="1">
      <c r="A10" s="1735">
        <v>921</v>
      </c>
      <c r="B10" s="1032">
        <v>92109</v>
      </c>
      <c r="C10" s="1032">
        <v>6209</v>
      </c>
      <c r="D10" s="1033">
        <f t="shared" si="0"/>
        <v>3215585</v>
      </c>
      <c r="E10" s="1033">
        <v>0</v>
      </c>
      <c r="F10" s="1074">
        <v>3215585</v>
      </c>
      <c r="G10" s="1769"/>
      <c r="H10" s="1078"/>
      <c r="I10" s="1035"/>
      <c r="J10" s="1035"/>
    </row>
    <row r="11" spans="1:11" s="310" customFormat="1" ht="20.100000000000001" customHeight="1">
      <c r="A11" s="1735"/>
      <c r="B11" s="1079">
        <v>92120</v>
      </c>
      <c r="C11" s="1032">
        <v>6209</v>
      </c>
      <c r="D11" s="1033">
        <f t="shared" si="0"/>
        <v>1170672</v>
      </c>
      <c r="E11" s="1033">
        <v>0</v>
      </c>
      <c r="F11" s="1074">
        <v>1170672</v>
      </c>
      <c r="G11" s="1769"/>
      <c r="H11" s="1078"/>
      <c r="I11" s="1035"/>
      <c r="J11" s="1035"/>
    </row>
    <row r="12" spans="1:11" s="1029" customFormat="1" ht="20.100000000000001" customHeight="1">
      <c r="A12" s="1735"/>
      <c r="B12" s="1079">
        <v>92195</v>
      </c>
      <c r="C12" s="1032">
        <v>6209</v>
      </c>
      <c r="D12" s="1033">
        <f t="shared" si="0"/>
        <v>2227987</v>
      </c>
      <c r="E12" s="1033">
        <v>0</v>
      </c>
      <c r="F12" s="1074">
        <v>2227987</v>
      </c>
      <c r="G12" s="1770"/>
      <c r="H12" s="1080"/>
      <c r="I12" s="1042"/>
      <c r="J12" s="1042"/>
    </row>
    <row r="13" spans="1:11" ht="20.100000000000001" customHeight="1" thickBot="1">
      <c r="A13" s="1761" t="s">
        <v>46</v>
      </c>
      <c r="B13" s="1762"/>
      <c r="C13" s="1763"/>
      <c r="D13" s="1081">
        <f>SUM(D7:D12)</f>
        <v>9958894</v>
      </c>
      <c r="E13" s="1081">
        <f>SUM(E7:E12)</f>
        <v>750000</v>
      </c>
      <c r="F13" s="1081">
        <f>SUM(F7:F12)</f>
        <v>9208894</v>
      </c>
      <c r="G13" s="1049"/>
      <c r="H13" s="1078"/>
      <c r="I13" s="2"/>
      <c r="J13" s="2"/>
    </row>
    <row r="14" spans="1:11">
      <c r="A14" s="1742"/>
      <c r="B14" s="1742"/>
      <c r="C14" s="1742"/>
      <c r="D14" s="1742"/>
      <c r="E14" s="1742"/>
      <c r="F14" s="1742"/>
      <c r="G14" s="1742"/>
      <c r="H14" s="1078"/>
      <c r="I14" s="2"/>
      <c r="J14" s="2"/>
    </row>
    <row r="15" spans="1:11" ht="18" customHeight="1" thickBot="1">
      <c r="A15" s="1743" t="s">
        <v>48</v>
      </c>
      <c r="B15" s="1743"/>
      <c r="C15" s="1743"/>
      <c r="D15" s="1743"/>
      <c r="E15" s="1743"/>
      <c r="F15" s="1743"/>
      <c r="G15" s="1743"/>
      <c r="H15" s="1078"/>
      <c r="I15" s="2"/>
      <c r="J15" s="2"/>
      <c r="K15" s="1000"/>
    </row>
    <row r="16" spans="1:11" ht="18" customHeight="1">
      <c r="A16" s="1764" t="s">
        <v>0</v>
      </c>
      <c r="B16" s="1766" t="s">
        <v>1</v>
      </c>
      <c r="C16" s="1766" t="s">
        <v>8</v>
      </c>
      <c r="D16" s="1748" t="s">
        <v>1026</v>
      </c>
      <c r="E16" s="1746" t="s">
        <v>2</v>
      </c>
      <c r="F16" s="1746"/>
      <c r="G16" s="1758" t="s">
        <v>47</v>
      </c>
      <c r="H16" s="1078"/>
      <c r="I16" s="2"/>
      <c r="J16" s="2"/>
    </row>
    <row r="17" spans="1:10" ht="18" customHeight="1">
      <c r="A17" s="1765"/>
      <c r="B17" s="1767"/>
      <c r="C17" s="1767"/>
      <c r="D17" s="1749"/>
      <c r="E17" s="1030" t="s">
        <v>44</v>
      </c>
      <c r="F17" s="1030" t="s">
        <v>43</v>
      </c>
      <c r="G17" s="1759"/>
      <c r="H17" s="2"/>
      <c r="I17" s="2"/>
      <c r="J17" s="2"/>
    </row>
    <row r="18" spans="1:10" s="1077" customFormat="1" ht="20.100000000000001" customHeight="1">
      <c r="A18" s="1752">
        <v>150</v>
      </c>
      <c r="B18" s="1754">
        <v>15011</v>
      </c>
      <c r="C18" s="1032">
        <v>2009</v>
      </c>
      <c r="D18" s="1033">
        <f>SUM(E18:F18)</f>
        <v>900000</v>
      </c>
      <c r="E18" s="1074">
        <v>900000</v>
      </c>
      <c r="F18" s="1082">
        <v>0</v>
      </c>
      <c r="G18" s="1756" t="s">
        <v>1031</v>
      </c>
      <c r="H18" s="1076"/>
      <c r="I18" s="1076"/>
      <c r="J18" s="1076"/>
    </row>
    <row r="19" spans="1:10" s="1077" customFormat="1" ht="20.100000000000001" customHeight="1">
      <c r="A19" s="1760"/>
      <c r="B19" s="1755"/>
      <c r="C19" s="1032">
        <v>6209</v>
      </c>
      <c r="D19" s="1033">
        <f>SUM(E19:F19)</f>
        <v>8843000</v>
      </c>
      <c r="E19" s="1033">
        <v>0</v>
      </c>
      <c r="F19" s="1074">
        <v>8843000</v>
      </c>
      <c r="G19" s="1756"/>
      <c r="H19" s="1076"/>
      <c r="I19" s="1076"/>
      <c r="J19" s="1076"/>
    </row>
    <row r="20" spans="1:10" s="1077" customFormat="1" ht="20.100000000000001" customHeight="1">
      <c r="A20" s="1041">
        <v>400</v>
      </c>
      <c r="B20" s="1032">
        <v>40095</v>
      </c>
      <c r="C20" s="1032">
        <v>6209</v>
      </c>
      <c r="D20" s="1033">
        <f>SUM(E20:F20)</f>
        <v>2422844</v>
      </c>
      <c r="E20" s="1033">
        <v>0</v>
      </c>
      <c r="F20" s="1074">
        <v>2422844</v>
      </c>
      <c r="G20" s="1756"/>
      <c r="H20" s="1076"/>
      <c r="I20" s="1076"/>
      <c r="J20" s="1076"/>
    </row>
    <row r="21" spans="1:10" s="1061" customFormat="1" ht="20.100000000000001" customHeight="1" thickBot="1">
      <c r="A21" s="1761" t="s">
        <v>46</v>
      </c>
      <c r="B21" s="1762"/>
      <c r="C21" s="1763"/>
      <c r="D21" s="1081">
        <f>SUM(D18:D20)</f>
        <v>12165844</v>
      </c>
      <c r="E21" s="1081">
        <f>SUM(E18:E20)</f>
        <v>900000</v>
      </c>
      <c r="F21" s="1081">
        <f>SUM(F18:F20)</f>
        <v>11265844</v>
      </c>
      <c r="G21" s="1049"/>
    </row>
    <row r="22" spans="1:10">
      <c r="B22" s="1001"/>
      <c r="C22" s="1083"/>
      <c r="D22" s="2"/>
      <c r="E22" s="2"/>
      <c r="F22" s="2"/>
    </row>
    <row r="23" spans="1:10">
      <c r="C23" s="1084"/>
      <c r="D23" s="2"/>
      <c r="E23" s="2"/>
      <c r="F23" s="2"/>
    </row>
    <row r="24" spans="1:10">
      <c r="C24" s="2"/>
      <c r="D24" s="2"/>
      <c r="E24" s="2"/>
      <c r="F24" s="2"/>
    </row>
    <row r="25" spans="1:10">
      <c r="C25" s="2"/>
      <c r="D25" s="2"/>
      <c r="E25" s="2"/>
      <c r="F25" s="2"/>
    </row>
    <row r="26" spans="1:10">
      <c r="C26" s="2"/>
    </row>
  </sheetData>
  <mergeCells count="23">
    <mergeCell ref="A2:G2"/>
    <mergeCell ref="A4:G4"/>
    <mergeCell ref="A5:A6"/>
    <mergeCell ref="B5:B6"/>
    <mergeCell ref="C5:C6"/>
    <mergeCell ref="D5:D6"/>
    <mergeCell ref="E5:F5"/>
    <mergeCell ref="G5:G6"/>
    <mergeCell ref="G7:G12"/>
    <mergeCell ref="A10:A12"/>
    <mergeCell ref="A13:C13"/>
    <mergeCell ref="A14:G14"/>
    <mergeCell ref="A15:G15"/>
    <mergeCell ref="G16:G17"/>
    <mergeCell ref="A18:A19"/>
    <mergeCell ref="B18:B19"/>
    <mergeCell ref="G18:G20"/>
    <mergeCell ref="A21:C21"/>
    <mergeCell ref="A16:A17"/>
    <mergeCell ref="B16:B17"/>
    <mergeCell ref="C16:C17"/>
    <mergeCell ref="D16:D17"/>
    <mergeCell ref="E16:F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G22"/>
  <sheetViews>
    <sheetView view="pageBreakPreview" zoomScaleSheetLayoutView="100" workbookViewId="0">
      <selection activeCell="J7" sqref="J7"/>
    </sheetView>
  </sheetViews>
  <sheetFormatPr defaultRowHeight="12.75"/>
  <cols>
    <col min="1" max="6" width="12.7109375" style="1" customWidth="1"/>
    <col min="7" max="7" width="60.7109375" style="1" customWidth="1"/>
    <col min="8" max="8" width="19.7109375" style="1" customWidth="1"/>
    <col min="9" max="9" width="9.140625" style="1"/>
    <col min="10" max="10" width="11.140625" style="1" bestFit="1" customWidth="1"/>
    <col min="11" max="256" width="9.140625" style="1"/>
    <col min="257" max="257" width="7.7109375" style="1" customWidth="1"/>
    <col min="258" max="258" width="10.5703125" style="1" customWidth="1"/>
    <col min="259" max="259" width="11.140625" style="1" bestFit="1" customWidth="1"/>
    <col min="260" max="260" width="22.140625" style="1" bestFit="1" customWidth="1"/>
    <col min="261" max="261" width="12.28515625" style="1" customWidth="1"/>
    <col min="262" max="262" width="12.5703125" style="1" customWidth="1"/>
    <col min="263" max="263" width="12.140625" style="1" customWidth="1"/>
    <col min="264" max="264" width="19.7109375" style="1" customWidth="1"/>
    <col min="265" max="512" width="9.140625" style="1"/>
    <col min="513" max="513" width="7.7109375" style="1" customWidth="1"/>
    <col min="514" max="514" width="10.5703125" style="1" customWidth="1"/>
    <col min="515" max="515" width="11.140625" style="1" bestFit="1" customWidth="1"/>
    <col min="516" max="516" width="22.140625" style="1" bestFit="1" customWidth="1"/>
    <col min="517" max="517" width="12.28515625" style="1" customWidth="1"/>
    <col min="518" max="518" width="12.5703125" style="1" customWidth="1"/>
    <col min="519" max="519" width="12.140625" style="1" customWidth="1"/>
    <col min="520" max="520" width="19.7109375" style="1" customWidth="1"/>
    <col min="521" max="768" width="9.140625" style="1"/>
    <col min="769" max="769" width="7.7109375" style="1" customWidth="1"/>
    <col min="770" max="770" width="10.5703125" style="1" customWidth="1"/>
    <col min="771" max="771" width="11.140625" style="1" bestFit="1" customWidth="1"/>
    <col min="772" max="772" width="22.140625" style="1" bestFit="1" customWidth="1"/>
    <col min="773" max="773" width="12.28515625" style="1" customWidth="1"/>
    <col min="774" max="774" width="12.5703125" style="1" customWidth="1"/>
    <col min="775" max="775" width="12.140625" style="1" customWidth="1"/>
    <col min="776" max="776" width="19.7109375" style="1" customWidth="1"/>
    <col min="777" max="1024" width="9.140625" style="1"/>
    <col min="1025" max="1025" width="7.7109375" style="1" customWidth="1"/>
    <col min="1026" max="1026" width="10.5703125" style="1" customWidth="1"/>
    <col min="1027" max="1027" width="11.140625" style="1" bestFit="1" customWidth="1"/>
    <col min="1028" max="1028" width="22.140625" style="1" bestFit="1" customWidth="1"/>
    <col min="1029" max="1029" width="12.28515625" style="1" customWidth="1"/>
    <col min="1030" max="1030" width="12.5703125" style="1" customWidth="1"/>
    <col min="1031" max="1031" width="12.140625" style="1" customWidth="1"/>
    <col min="1032" max="1032" width="19.7109375" style="1" customWidth="1"/>
    <col min="1033" max="1280" width="9.140625" style="1"/>
    <col min="1281" max="1281" width="7.7109375" style="1" customWidth="1"/>
    <col min="1282" max="1282" width="10.5703125" style="1" customWidth="1"/>
    <col min="1283" max="1283" width="11.140625" style="1" bestFit="1" customWidth="1"/>
    <col min="1284" max="1284" width="22.140625" style="1" bestFit="1" customWidth="1"/>
    <col min="1285" max="1285" width="12.28515625" style="1" customWidth="1"/>
    <col min="1286" max="1286" width="12.5703125" style="1" customWidth="1"/>
    <col min="1287" max="1287" width="12.140625" style="1" customWidth="1"/>
    <col min="1288" max="1288" width="19.7109375" style="1" customWidth="1"/>
    <col min="1289" max="1536" width="9.140625" style="1"/>
    <col min="1537" max="1537" width="7.7109375" style="1" customWidth="1"/>
    <col min="1538" max="1538" width="10.5703125" style="1" customWidth="1"/>
    <col min="1539" max="1539" width="11.140625" style="1" bestFit="1" customWidth="1"/>
    <col min="1540" max="1540" width="22.140625" style="1" bestFit="1" customWidth="1"/>
    <col min="1541" max="1541" width="12.28515625" style="1" customWidth="1"/>
    <col min="1542" max="1542" width="12.5703125" style="1" customWidth="1"/>
    <col min="1543" max="1543" width="12.140625" style="1" customWidth="1"/>
    <col min="1544" max="1544" width="19.7109375" style="1" customWidth="1"/>
    <col min="1545" max="1792" width="9.140625" style="1"/>
    <col min="1793" max="1793" width="7.7109375" style="1" customWidth="1"/>
    <col min="1794" max="1794" width="10.5703125" style="1" customWidth="1"/>
    <col min="1795" max="1795" width="11.140625" style="1" bestFit="1" customWidth="1"/>
    <col min="1796" max="1796" width="22.140625" style="1" bestFit="1" customWidth="1"/>
    <col min="1797" max="1797" width="12.28515625" style="1" customWidth="1"/>
    <col min="1798" max="1798" width="12.5703125" style="1" customWidth="1"/>
    <col min="1799" max="1799" width="12.140625" style="1" customWidth="1"/>
    <col min="1800" max="1800" width="19.7109375" style="1" customWidth="1"/>
    <col min="1801" max="2048" width="9.140625" style="1"/>
    <col min="2049" max="2049" width="7.7109375" style="1" customWidth="1"/>
    <col min="2050" max="2050" width="10.5703125" style="1" customWidth="1"/>
    <col min="2051" max="2051" width="11.140625" style="1" bestFit="1" customWidth="1"/>
    <col min="2052" max="2052" width="22.140625" style="1" bestFit="1" customWidth="1"/>
    <col min="2053" max="2053" width="12.28515625" style="1" customWidth="1"/>
    <col min="2054" max="2054" width="12.5703125" style="1" customWidth="1"/>
    <col min="2055" max="2055" width="12.140625" style="1" customWidth="1"/>
    <col min="2056" max="2056" width="19.7109375" style="1" customWidth="1"/>
    <col min="2057" max="2304" width="9.140625" style="1"/>
    <col min="2305" max="2305" width="7.7109375" style="1" customWidth="1"/>
    <col min="2306" max="2306" width="10.5703125" style="1" customWidth="1"/>
    <col min="2307" max="2307" width="11.140625" style="1" bestFit="1" customWidth="1"/>
    <col min="2308" max="2308" width="22.140625" style="1" bestFit="1" customWidth="1"/>
    <col min="2309" max="2309" width="12.28515625" style="1" customWidth="1"/>
    <col min="2310" max="2310" width="12.5703125" style="1" customWidth="1"/>
    <col min="2311" max="2311" width="12.140625" style="1" customWidth="1"/>
    <col min="2312" max="2312" width="19.7109375" style="1" customWidth="1"/>
    <col min="2313" max="2560" width="9.140625" style="1"/>
    <col min="2561" max="2561" width="7.7109375" style="1" customWidth="1"/>
    <col min="2562" max="2562" width="10.5703125" style="1" customWidth="1"/>
    <col min="2563" max="2563" width="11.140625" style="1" bestFit="1" customWidth="1"/>
    <col min="2564" max="2564" width="22.140625" style="1" bestFit="1" customWidth="1"/>
    <col min="2565" max="2565" width="12.28515625" style="1" customWidth="1"/>
    <col min="2566" max="2566" width="12.5703125" style="1" customWidth="1"/>
    <col min="2567" max="2567" width="12.140625" style="1" customWidth="1"/>
    <col min="2568" max="2568" width="19.7109375" style="1" customWidth="1"/>
    <col min="2569" max="2816" width="9.140625" style="1"/>
    <col min="2817" max="2817" width="7.7109375" style="1" customWidth="1"/>
    <col min="2818" max="2818" width="10.5703125" style="1" customWidth="1"/>
    <col min="2819" max="2819" width="11.140625" style="1" bestFit="1" customWidth="1"/>
    <col min="2820" max="2820" width="22.140625" style="1" bestFit="1" customWidth="1"/>
    <col min="2821" max="2821" width="12.28515625" style="1" customWidth="1"/>
    <col min="2822" max="2822" width="12.5703125" style="1" customWidth="1"/>
    <col min="2823" max="2823" width="12.140625" style="1" customWidth="1"/>
    <col min="2824" max="2824" width="19.7109375" style="1" customWidth="1"/>
    <col min="2825" max="3072" width="9.140625" style="1"/>
    <col min="3073" max="3073" width="7.7109375" style="1" customWidth="1"/>
    <col min="3074" max="3074" width="10.5703125" style="1" customWidth="1"/>
    <col min="3075" max="3075" width="11.140625" style="1" bestFit="1" customWidth="1"/>
    <col min="3076" max="3076" width="22.140625" style="1" bestFit="1" customWidth="1"/>
    <col min="3077" max="3077" width="12.28515625" style="1" customWidth="1"/>
    <col min="3078" max="3078" width="12.5703125" style="1" customWidth="1"/>
    <col min="3079" max="3079" width="12.140625" style="1" customWidth="1"/>
    <col min="3080" max="3080" width="19.7109375" style="1" customWidth="1"/>
    <col min="3081" max="3328" width="9.140625" style="1"/>
    <col min="3329" max="3329" width="7.7109375" style="1" customWidth="1"/>
    <col min="3330" max="3330" width="10.5703125" style="1" customWidth="1"/>
    <col min="3331" max="3331" width="11.140625" style="1" bestFit="1" customWidth="1"/>
    <col min="3332" max="3332" width="22.140625" style="1" bestFit="1" customWidth="1"/>
    <col min="3333" max="3333" width="12.28515625" style="1" customWidth="1"/>
    <col min="3334" max="3334" width="12.5703125" style="1" customWidth="1"/>
    <col min="3335" max="3335" width="12.140625" style="1" customWidth="1"/>
    <col min="3336" max="3336" width="19.7109375" style="1" customWidth="1"/>
    <col min="3337" max="3584" width="9.140625" style="1"/>
    <col min="3585" max="3585" width="7.7109375" style="1" customWidth="1"/>
    <col min="3586" max="3586" width="10.5703125" style="1" customWidth="1"/>
    <col min="3587" max="3587" width="11.140625" style="1" bestFit="1" customWidth="1"/>
    <col min="3588" max="3588" width="22.140625" style="1" bestFit="1" customWidth="1"/>
    <col min="3589" max="3589" width="12.28515625" style="1" customWidth="1"/>
    <col min="3590" max="3590" width="12.5703125" style="1" customWidth="1"/>
    <col min="3591" max="3591" width="12.140625" style="1" customWidth="1"/>
    <col min="3592" max="3592" width="19.7109375" style="1" customWidth="1"/>
    <col min="3593" max="3840" width="9.140625" style="1"/>
    <col min="3841" max="3841" width="7.7109375" style="1" customWidth="1"/>
    <col min="3842" max="3842" width="10.5703125" style="1" customWidth="1"/>
    <col min="3843" max="3843" width="11.140625" style="1" bestFit="1" customWidth="1"/>
    <col min="3844" max="3844" width="22.140625" style="1" bestFit="1" customWidth="1"/>
    <col min="3845" max="3845" width="12.28515625" style="1" customWidth="1"/>
    <col min="3846" max="3846" width="12.5703125" style="1" customWidth="1"/>
    <col min="3847" max="3847" width="12.140625" style="1" customWidth="1"/>
    <col min="3848" max="3848" width="19.7109375" style="1" customWidth="1"/>
    <col min="3849" max="4096" width="9.140625" style="1"/>
    <col min="4097" max="4097" width="7.7109375" style="1" customWidth="1"/>
    <col min="4098" max="4098" width="10.5703125" style="1" customWidth="1"/>
    <col min="4099" max="4099" width="11.140625" style="1" bestFit="1" customWidth="1"/>
    <col min="4100" max="4100" width="22.140625" style="1" bestFit="1" customWidth="1"/>
    <col min="4101" max="4101" width="12.28515625" style="1" customWidth="1"/>
    <col min="4102" max="4102" width="12.5703125" style="1" customWidth="1"/>
    <col min="4103" max="4103" width="12.140625" style="1" customWidth="1"/>
    <col min="4104" max="4104" width="19.7109375" style="1" customWidth="1"/>
    <col min="4105" max="4352" width="9.140625" style="1"/>
    <col min="4353" max="4353" width="7.7109375" style="1" customWidth="1"/>
    <col min="4354" max="4354" width="10.5703125" style="1" customWidth="1"/>
    <col min="4355" max="4355" width="11.140625" style="1" bestFit="1" customWidth="1"/>
    <col min="4356" max="4356" width="22.140625" style="1" bestFit="1" customWidth="1"/>
    <col min="4357" max="4357" width="12.28515625" style="1" customWidth="1"/>
    <col min="4358" max="4358" width="12.5703125" style="1" customWidth="1"/>
    <col min="4359" max="4359" width="12.140625" style="1" customWidth="1"/>
    <col min="4360" max="4360" width="19.7109375" style="1" customWidth="1"/>
    <col min="4361" max="4608" width="9.140625" style="1"/>
    <col min="4609" max="4609" width="7.7109375" style="1" customWidth="1"/>
    <col min="4610" max="4610" width="10.5703125" style="1" customWidth="1"/>
    <col min="4611" max="4611" width="11.140625" style="1" bestFit="1" customWidth="1"/>
    <col min="4612" max="4612" width="22.140625" style="1" bestFit="1" customWidth="1"/>
    <col min="4613" max="4613" width="12.28515625" style="1" customWidth="1"/>
    <col min="4614" max="4614" width="12.5703125" style="1" customWidth="1"/>
    <col min="4615" max="4615" width="12.140625" style="1" customWidth="1"/>
    <col min="4616" max="4616" width="19.7109375" style="1" customWidth="1"/>
    <col min="4617" max="4864" width="9.140625" style="1"/>
    <col min="4865" max="4865" width="7.7109375" style="1" customWidth="1"/>
    <col min="4866" max="4866" width="10.5703125" style="1" customWidth="1"/>
    <col min="4867" max="4867" width="11.140625" style="1" bestFit="1" customWidth="1"/>
    <col min="4868" max="4868" width="22.140625" style="1" bestFit="1" customWidth="1"/>
    <col min="4869" max="4869" width="12.28515625" style="1" customWidth="1"/>
    <col min="4870" max="4870" width="12.5703125" style="1" customWidth="1"/>
    <col min="4871" max="4871" width="12.140625" style="1" customWidth="1"/>
    <col min="4872" max="4872" width="19.7109375" style="1" customWidth="1"/>
    <col min="4873" max="5120" width="9.140625" style="1"/>
    <col min="5121" max="5121" width="7.7109375" style="1" customWidth="1"/>
    <col min="5122" max="5122" width="10.5703125" style="1" customWidth="1"/>
    <col min="5123" max="5123" width="11.140625" style="1" bestFit="1" customWidth="1"/>
    <col min="5124" max="5124" width="22.140625" style="1" bestFit="1" customWidth="1"/>
    <col min="5125" max="5125" width="12.28515625" style="1" customWidth="1"/>
    <col min="5126" max="5126" width="12.5703125" style="1" customWidth="1"/>
    <col min="5127" max="5127" width="12.140625" style="1" customWidth="1"/>
    <col min="5128" max="5128" width="19.7109375" style="1" customWidth="1"/>
    <col min="5129" max="5376" width="9.140625" style="1"/>
    <col min="5377" max="5377" width="7.7109375" style="1" customWidth="1"/>
    <col min="5378" max="5378" width="10.5703125" style="1" customWidth="1"/>
    <col min="5379" max="5379" width="11.140625" style="1" bestFit="1" customWidth="1"/>
    <col min="5380" max="5380" width="22.140625" style="1" bestFit="1" customWidth="1"/>
    <col min="5381" max="5381" width="12.28515625" style="1" customWidth="1"/>
    <col min="5382" max="5382" width="12.5703125" style="1" customWidth="1"/>
    <col min="5383" max="5383" width="12.140625" style="1" customWidth="1"/>
    <col min="5384" max="5384" width="19.7109375" style="1" customWidth="1"/>
    <col min="5385" max="5632" width="9.140625" style="1"/>
    <col min="5633" max="5633" width="7.7109375" style="1" customWidth="1"/>
    <col min="5634" max="5634" width="10.5703125" style="1" customWidth="1"/>
    <col min="5635" max="5635" width="11.140625" style="1" bestFit="1" customWidth="1"/>
    <col min="5636" max="5636" width="22.140625" style="1" bestFit="1" customWidth="1"/>
    <col min="5637" max="5637" width="12.28515625" style="1" customWidth="1"/>
    <col min="5638" max="5638" width="12.5703125" style="1" customWidth="1"/>
    <col min="5639" max="5639" width="12.140625" style="1" customWidth="1"/>
    <col min="5640" max="5640" width="19.7109375" style="1" customWidth="1"/>
    <col min="5641" max="5888" width="9.140625" style="1"/>
    <col min="5889" max="5889" width="7.7109375" style="1" customWidth="1"/>
    <col min="5890" max="5890" width="10.5703125" style="1" customWidth="1"/>
    <col min="5891" max="5891" width="11.140625" style="1" bestFit="1" customWidth="1"/>
    <col min="5892" max="5892" width="22.140625" style="1" bestFit="1" customWidth="1"/>
    <col min="5893" max="5893" width="12.28515625" style="1" customWidth="1"/>
    <col min="5894" max="5894" width="12.5703125" style="1" customWidth="1"/>
    <col min="5895" max="5895" width="12.140625" style="1" customWidth="1"/>
    <col min="5896" max="5896" width="19.7109375" style="1" customWidth="1"/>
    <col min="5897" max="6144" width="9.140625" style="1"/>
    <col min="6145" max="6145" width="7.7109375" style="1" customWidth="1"/>
    <col min="6146" max="6146" width="10.5703125" style="1" customWidth="1"/>
    <col min="6147" max="6147" width="11.140625" style="1" bestFit="1" customWidth="1"/>
    <col min="6148" max="6148" width="22.140625" style="1" bestFit="1" customWidth="1"/>
    <col min="6149" max="6149" width="12.28515625" style="1" customWidth="1"/>
    <col min="6150" max="6150" width="12.5703125" style="1" customWidth="1"/>
    <col min="6151" max="6151" width="12.140625" style="1" customWidth="1"/>
    <col min="6152" max="6152" width="19.7109375" style="1" customWidth="1"/>
    <col min="6153" max="6400" width="9.140625" style="1"/>
    <col min="6401" max="6401" width="7.7109375" style="1" customWidth="1"/>
    <col min="6402" max="6402" width="10.5703125" style="1" customWidth="1"/>
    <col min="6403" max="6403" width="11.140625" style="1" bestFit="1" customWidth="1"/>
    <col min="6404" max="6404" width="22.140625" style="1" bestFit="1" customWidth="1"/>
    <col min="6405" max="6405" width="12.28515625" style="1" customWidth="1"/>
    <col min="6406" max="6406" width="12.5703125" style="1" customWidth="1"/>
    <col min="6407" max="6407" width="12.140625" style="1" customWidth="1"/>
    <col min="6408" max="6408" width="19.7109375" style="1" customWidth="1"/>
    <col min="6409" max="6656" width="9.140625" style="1"/>
    <col min="6657" max="6657" width="7.7109375" style="1" customWidth="1"/>
    <col min="6658" max="6658" width="10.5703125" style="1" customWidth="1"/>
    <col min="6659" max="6659" width="11.140625" style="1" bestFit="1" customWidth="1"/>
    <col min="6660" max="6660" width="22.140625" style="1" bestFit="1" customWidth="1"/>
    <col min="6661" max="6661" width="12.28515625" style="1" customWidth="1"/>
    <col min="6662" max="6662" width="12.5703125" style="1" customWidth="1"/>
    <col min="6663" max="6663" width="12.140625" style="1" customWidth="1"/>
    <col min="6664" max="6664" width="19.7109375" style="1" customWidth="1"/>
    <col min="6665" max="6912" width="9.140625" style="1"/>
    <col min="6913" max="6913" width="7.7109375" style="1" customWidth="1"/>
    <col min="6914" max="6914" width="10.5703125" style="1" customWidth="1"/>
    <col min="6915" max="6915" width="11.140625" style="1" bestFit="1" customWidth="1"/>
    <col min="6916" max="6916" width="22.140625" style="1" bestFit="1" customWidth="1"/>
    <col min="6917" max="6917" width="12.28515625" style="1" customWidth="1"/>
    <col min="6918" max="6918" width="12.5703125" style="1" customWidth="1"/>
    <col min="6919" max="6919" width="12.140625" style="1" customWidth="1"/>
    <col min="6920" max="6920" width="19.7109375" style="1" customWidth="1"/>
    <col min="6921" max="7168" width="9.140625" style="1"/>
    <col min="7169" max="7169" width="7.7109375" style="1" customWidth="1"/>
    <col min="7170" max="7170" width="10.5703125" style="1" customWidth="1"/>
    <col min="7171" max="7171" width="11.140625" style="1" bestFit="1" customWidth="1"/>
    <col min="7172" max="7172" width="22.140625" style="1" bestFit="1" customWidth="1"/>
    <col min="7173" max="7173" width="12.28515625" style="1" customWidth="1"/>
    <col min="7174" max="7174" width="12.5703125" style="1" customWidth="1"/>
    <col min="7175" max="7175" width="12.140625" style="1" customWidth="1"/>
    <col min="7176" max="7176" width="19.7109375" style="1" customWidth="1"/>
    <col min="7177" max="7424" width="9.140625" style="1"/>
    <col min="7425" max="7425" width="7.7109375" style="1" customWidth="1"/>
    <col min="7426" max="7426" width="10.5703125" style="1" customWidth="1"/>
    <col min="7427" max="7427" width="11.140625" style="1" bestFit="1" customWidth="1"/>
    <col min="7428" max="7428" width="22.140625" style="1" bestFit="1" customWidth="1"/>
    <col min="7429" max="7429" width="12.28515625" style="1" customWidth="1"/>
    <col min="7430" max="7430" width="12.5703125" style="1" customWidth="1"/>
    <col min="7431" max="7431" width="12.140625" style="1" customWidth="1"/>
    <col min="7432" max="7432" width="19.7109375" style="1" customWidth="1"/>
    <col min="7433" max="7680" width="9.140625" style="1"/>
    <col min="7681" max="7681" width="7.7109375" style="1" customWidth="1"/>
    <col min="7682" max="7682" width="10.5703125" style="1" customWidth="1"/>
    <col min="7683" max="7683" width="11.140625" style="1" bestFit="1" customWidth="1"/>
    <col min="7684" max="7684" width="22.140625" style="1" bestFit="1" customWidth="1"/>
    <col min="7685" max="7685" width="12.28515625" style="1" customWidth="1"/>
    <col min="7686" max="7686" width="12.5703125" style="1" customWidth="1"/>
    <col min="7687" max="7687" width="12.140625" style="1" customWidth="1"/>
    <col min="7688" max="7688" width="19.7109375" style="1" customWidth="1"/>
    <col min="7689" max="7936" width="9.140625" style="1"/>
    <col min="7937" max="7937" width="7.7109375" style="1" customWidth="1"/>
    <col min="7938" max="7938" width="10.5703125" style="1" customWidth="1"/>
    <col min="7939" max="7939" width="11.140625" style="1" bestFit="1" customWidth="1"/>
    <col min="7940" max="7940" width="22.140625" style="1" bestFit="1" customWidth="1"/>
    <col min="7941" max="7941" width="12.28515625" style="1" customWidth="1"/>
    <col min="7942" max="7942" width="12.5703125" style="1" customWidth="1"/>
    <col min="7943" max="7943" width="12.140625" style="1" customWidth="1"/>
    <col min="7944" max="7944" width="19.7109375" style="1" customWidth="1"/>
    <col min="7945" max="8192" width="9.140625" style="1"/>
    <col min="8193" max="8193" width="7.7109375" style="1" customWidth="1"/>
    <col min="8194" max="8194" width="10.5703125" style="1" customWidth="1"/>
    <col min="8195" max="8195" width="11.140625" style="1" bestFit="1" customWidth="1"/>
    <col min="8196" max="8196" width="22.140625" style="1" bestFit="1" customWidth="1"/>
    <col min="8197" max="8197" width="12.28515625" style="1" customWidth="1"/>
    <col min="8198" max="8198" width="12.5703125" style="1" customWidth="1"/>
    <col min="8199" max="8199" width="12.140625" style="1" customWidth="1"/>
    <col min="8200" max="8200" width="19.7109375" style="1" customWidth="1"/>
    <col min="8201" max="8448" width="9.140625" style="1"/>
    <col min="8449" max="8449" width="7.7109375" style="1" customWidth="1"/>
    <col min="8450" max="8450" width="10.5703125" style="1" customWidth="1"/>
    <col min="8451" max="8451" width="11.140625" style="1" bestFit="1" customWidth="1"/>
    <col min="8452" max="8452" width="22.140625" style="1" bestFit="1" customWidth="1"/>
    <col min="8453" max="8453" width="12.28515625" style="1" customWidth="1"/>
    <col min="8454" max="8454" width="12.5703125" style="1" customWidth="1"/>
    <col min="8455" max="8455" width="12.140625" style="1" customWidth="1"/>
    <col min="8456" max="8456" width="19.7109375" style="1" customWidth="1"/>
    <col min="8457" max="8704" width="9.140625" style="1"/>
    <col min="8705" max="8705" width="7.7109375" style="1" customWidth="1"/>
    <col min="8706" max="8706" width="10.5703125" style="1" customWidth="1"/>
    <col min="8707" max="8707" width="11.140625" style="1" bestFit="1" customWidth="1"/>
    <col min="8708" max="8708" width="22.140625" style="1" bestFit="1" customWidth="1"/>
    <col min="8709" max="8709" width="12.28515625" style="1" customWidth="1"/>
    <col min="8710" max="8710" width="12.5703125" style="1" customWidth="1"/>
    <col min="8711" max="8711" width="12.140625" style="1" customWidth="1"/>
    <col min="8712" max="8712" width="19.7109375" style="1" customWidth="1"/>
    <col min="8713" max="8960" width="9.140625" style="1"/>
    <col min="8961" max="8961" width="7.7109375" style="1" customWidth="1"/>
    <col min="8962" max="8962" width="10.5703125" style="1" customWidth="1"/>
    <col min="8963" max="8963" width="11.140625" style="1" bestFit="1" customWidth="1"/>
    <col min="8964" max="8964" width="22.140625" style="1" bestFit="1" customWidth="1"/>
    <col min="8965" max="8965" width="12.28515625" style="1" customWidth="1"/>
    <col min="8966" max="8966" width="12.5703125" style="1" customWidth="1"/>
    <col min="8967" max="8967" width="12.140625" style="1" customWidth="1"/>
    <col min="8968" max="8968" width="19.7109375" style="1" customWidth="1"/>
    <col min="8969" max="9216" width="9.140625" style="1"/>
    <col min="9217" max="9217" width="7.7109375" style="1" customWidth="1"/>
    <col min="9218" max="9218" width="10.5703125" style="1" customWidth="1"/>
    <col min="9219" max="9219" width="11.140625" style="1" bestFit="1" customWidth="1"/>
    <col min="9220" max="9220" width="22.140625" style="1" bestFit="1" customWidth="1"/>
    <col min="9221" max="9221" width="12.28515625" style="1" customWidth="1"/>
    <col min="9222" max="9222" width="12.5703125" style="1" customWidth="1"/>
    <col min="9223" max="9223" width="12.140625" style="1" customWidth="1"/>
    <col min="9224" max="9224" width="19.7109375" style="1" customWidth="1"/>
    <col min="9225" max="9472" width="9.140625" style="1"/>
    <col min="9473" max="9473" width="7.7109375" style="1" customWidth="1"/>
    <col min="9474" max="9474" width="10.5703125" style="1" customWidth="1"/>
    <col min="9475" max="9475" width="11.140625" style="1" bestFit="1" customWidth="1"/>
    <col min="9476" max="9476" width="22.140625" style="1" bestFit="1" customWidth="1"/>
    <col min="9477" max="9477" width="12.28515625" style="1" customWidth="1"/>
    <col min="9478" max="9478" width="12.5703125" style="1" customWidth="1"/>
    <col min="9479" max="9479" width="12.140625" style="1" customWidth="1"/>
    <col min="9480" max="9480" width="19.7109375" style="1" customWidth="1"/>
    <col min="9481" max="9728" width="9.140625" style="1"/>
    <col min="9729" max="9729" width="7.7109375" style="1" customWidth="1"/>
    <col min="9730" max="9730" width="10.5703125" style="1" customWidth="1"/>
    <col min="9731" max="9731" width="11.140625" style="1" bestFit="1" customWidth="1"/>
    <col min="9732" max="9732" width="22.140625" style="1" bestFit="1" customWidth="1"/>
    <col min="9733" max="9733" width="12.28515625" style="1" customWidth="1"/>
    <col min="9734" max="9734" width="12.5703125" style="1" customWidth="1"/>
    <col min="9735" max="9735" width="12.140625" style="1" customWidth="1"/>
    <col min="9736" max="9736" width="19.7109375" style="1" customWidth="1"/>
    <col min="9737" max="9984" width="9.140625" style="1"/>
    <col min="9985" max="9985" width="7.7109375" style="1" customWidth="1"/>
    <col min="9986" max="9986" width="10.5703125" style="1" customWidth="1"/>
    <col min="9987" max="9987" width="11.140625" style="1" bestFit="1" customWidth="1"/>
    <col min="9988" max="9988" width="22.140625" style="1" bestFit="1" customWidth="1"/>
    <col min="9989" max="9989" width="12.28515625" style="1" customWidth="1"/>
    <col min="9990" max="9990" width="12.5703125" style="1" customWidth="1"/>
    <col min="9991" max="9991" width="12.140625" style="1" customWidth="1"/>
    <col min="9992" max="9992" width="19.7109375" style="1" customWidth="1"/>
    <col min="9993" max="10240" width="9.140625" style="1"/>
    <col min="10241" max="10241" width="7.7109375" style="1" customWidth="1"/>
    <col min="10242" max="10242" width="10.5703125" style="1" customWidth="1"/>
    <col min="10243" max="10243" width="11.140625" style="1" bestFit="1" customWidth="1"/>
    <col min="10244" max="10244" width="22.140625" style="1" bestFit="1" customWidth="1"/>
    <col min="10245" max="10245" width="12.28515625" style="1" customWidth="1"/>
    <col min="10246" max="10246" width="12.5703125" style="1" customWidth="1"/>
    <col min="10247" max="10247" width="12.140625" style="1" customWidth="1"/>
    <col min="10248" max="10248" width="19.7109375" style="1" customWidth="1"/>
    <col min="10249" max="10496" width="9.140625" style="1"/>
    <col min="10497" max="10497" width="7.7109375" style="1" customWidth="1"/>
    <col min="10498" max="10498" width="10.5703125" style="1" customWidth="1"/>
    <col min="10499" max="10499" width="11.140625" style="1" bestFit="1" customWidth="1"/>
    <col min="10500" max="10500" width="22.140625" style="1" bestFit="1" customWidth="1"/>
    <col min="10501" max="10501" width="12.28515625" style="1" customWidth="1"/>
    <col min="10502" max="10502" width="12.5703125" style="1" customWidth="1"/>
    <col min="10503" max="10503" width="12.140625" style="1" customWidth="1"/>
    <col min="10504" max="10504" width="19.7109375" style="1" customWidth="1"/>
    <col min="10505" max="10752" width="9.140625" style="1"/>
    <col min="10753" max="10753" width="7.7109375" style="1" customWidth="1"/>
    <col min="10754" max="10754" width="10.5703125" style="1" customWidth="1"/>
    <col min="10755" max="10755" width="11.140625" style="1" bestFit="1" customWidth="1"/>
    <col min="10756" max="10756" width="22.140625" style="1" bestFit="1" customWidth="1"/>
    <col min="10757" max="10757" width="12.28515625" style="1" customWidth="1"/>
    <col min="10758" max="10758" width="12.5703125" style="1" customWidth="1"/>
    <col min="10759" max="10759" width="12.140625" style="1" customWidth="1"/>
    <col min="10760" max="10760" width="19.7109375" style="1" customWidth="1"/>
    <col min="10761" max="11008" width="9.140625" style="1"/>
    <col min="11009" max="11009" width="7.7109375" style="1" customWidth="1"/>
    <col min="11010" max="11010" width="10.5703125" style="1" customWidth="1"/>
    <col min="11011" max="11011" width="11.140625" style="1" bestFit="1" customWidth="1"/>
    <col min="11012" max="11012" width="22.140625" style="1" bestFit="1" customWidth="1"/>
    <col min="11013" max="11013" width="12.28515625" style="1" customWidth="1"/>
    <col min="11014" max="11014" width="12.5703125" style="1" customWidth="1"/>
    <col min="11015" max="11015" width="12.140625" style="1" customWidth="1"/>
    <col min="11016" max="11016" width="19.7109375" style="1" customWidth="1"/>
    <col min="11017" max="11264" width="9.140625" style="1"/>
    <col min="11265" max="11265" width="7.7109375" style="1" customWidth="1"/>
    <col min="11266" max="11266" width="10.5703125" style="1" customWidth="1"/>
    <col min="11267" max="11267" width="11.140625" style="1" bestFit="1" customWidth="1"/>
    <col min="11268" max="11268" width="22.140625" style="1" bestFit="1" customWidth="1"/>
    <col min="11269" max="11269" width="12.28515625" style="1" customWidth="1"/>
    <col min="11270" max="11270" width="12.5703125" style="1" customWidth="1"/>
    <col min="11271" max="11271" width="12.140625" style="1" customWidth="1"/>
    <col min="11272" max="11272" width="19.7109375" style="1" customWidth="1"/>
    <col min="11273" max="11520" width="9.140625" style="1"/>
    <col min="11521" max="11521" width="7.7109375" style="1" customWidth="1"/>
    <col min="11522" max="11522" width="10.5703125" style="1" customWidth="1"/>
    <col min="11523" max="11523" width="11.140625" style="1" bestFit="1" customWidth="1"/>
    <col min="11524" max="11524" width="22.140625" style="1" bestFit="1" customWidth="1"/>
    <col min="11525" max="11525" width="12.28515625" style="1" customWidth="1"/>
    <col min="11526" max="11526" width="12.5703125" style="1" customWidth="1"/>
    <col min="11527" max="11527" width="12.140625" style="1" customWidth="1"/>
    <col min="11528" max="11528" width="19.7109375" style="1" customWidth="1"/>
    <col min="11529" max="11776" width="9.140625" style="1"/>
    <col min="11777" max="11777" width="7.7109375" style="1" customWidth="1"/>
    <col min="11778" max="11778" width="10.5703125" style="1" customWidth="1"/>
    <col min="11779" max="11779" width="11.140625" style="1" bestFit="1" customWidth="1"/>
    <col min="11780" max="11780" width="22.140625" style="1" bestFit="1" customWidth="1"/>
    <col min="11781" max="11781" width="12.28515625" style="1" customWidth="1"/>
    <col min="11782" max="11782" width="12.5703125" style="1" customWidth="1"/>
    <col min="11783" max="11783" width="12.140625" style="1" customWidth="1"/>
    <col min="11784" max="11784" width="19.7109375" style="1" customWidth="1"/>
    <col min="11785" max="12032" width="9.140625" style="1"/>
    <col min="12033" max="12033" width="7.7109375" style="1" customWidth="1"/>
    <col min="12034" max="12034" width="10.5703125" style="1" customWidth="1"/>
    <col min="12035" max="12035" width="11.140625" style="1" bestFit="1" customWidth="1"/>
    <col min="12036" max="12036" width="22.140625" style="1" bestFit="1" customWidth="1"/>
    <col min="12037" max="12037" width="12.28515625" style="1" customWidth="1"/>
    <col min="12038" max="12038" width="12.5703125" style="1" customWidth="1"/>
    <col min="12039" max="12039" width="12.140625" style="1" customWidth="1"/>
    <col min="12040" max="12040" width="19.7109375" style="1" customWidth="1"/>
    <col min="12041" max="12288" width="9.140625" style="1"/>
    <col min="12289" max="12289" width="7.7109375" style="1" customWidth="1"/>
    <col min="12290" max="12290" width="10.5703125" style="1" customWidth="1"/>
    <col min="12291" max="12291" width="11.140625" style="1" bestFit="1" customWidth="1"/>
    <col min="12292" max="12292" width="22.140625" style="1" bestFit="1" customWidth="1"/>
    <col min="12293" max="12293" width="12.28515625" style="1" customWidth="1"/>
    <col min="12294" max="12294" width="12.5703125" style="1" customWidth="1"/>
    <col min="12295" max="12295" width="12.140625" style="1" customWidth="1"/>
    <col min="12296" max="12296" width="19.7109375" style="1" customWidth="1"/>
    <col min="12297" max="12544" width="9.140625" style="1"/>
    <col min="12545" max="12545" width="7.7109375" style="1" customWidth="1"/>
    <col min="12546" max="12546" width="10.5703125" style="1" customWidth="1"/>
    <col min="12547" max="12547" width="11.140625" style="1" bestFit="1" customWidth="1"/>
    <col min="12548" max="12548" width="22.140625" style="1" bestFit="1" customWidth="1"/>
    <col min="12549" max="12549" width="12.28515625" style="1" customWidth="1"/>
    <col min="12550" max="12550" width="12.5703125" style="1" customWidth="1"/>
    <col min="12551" max="12551" width="12.140625" style="1" customWidth="1"/>
    <col min="12552" max="12552" width="19.7109375" style="1" customWidth="1"/>
    <col min="12553" max="12800" width="9.140625" style="1"/>
    <col min="12801" max="12801" width="7.7109375" style="1" customWidth="1"/>
    <col min="12802" max="12802" width="10.5703125" style="1" customWidth="1"/>
    <col min="12803" max="12803" width="11.140625" style="1" bestFit="1" customWidth="1"/>
    <col min="12804" max="12804" width="22.140625" style="1" bestFit="1" customWidth="1"/>
    <col min="12805" max="12805" width="12.28515625" style="1" customWidth="1"/>
    <col min="12806" max="12806" width="12.5703125" style="1" customWidth="1"/>
    <col min="12807" max="12807" width="12.140625" style="1" customWidth="1"/>
    <col min="12808" max="12808" width="19.7109375" style="1" customWidth="1"/>
    <col min="12809" max="13056" width="9.140625" style="1"/>
    <col min="13057" max="13057" width="7.7109375" style="1" customWidth="1"/>
    <col min="13058" max="13058" width="10.5703125" style="1" customWidth="1"/>
    <col min="13059" max="13059" width="11.140625" style="1" bestFit="1" customWidth="1"/>
    <col min="13060" max="13060" width="22.140625" style="1" bestFit="1" customWidth="1"/>
    <col min="13061" max="13061" width="12.28515625" style="1" customWidth="1"/>
    <col min="13062" max="13062" width="12.5703125" style="1" customWidth="1"/>
    <col min="13063" max="13063" width="12.140625" style="1" customWidth="1"/>
    <col min="13064" max="13064" width="19.7109375" style="1" customWidth="1"/>
    <col min="13065" max="13312" width="9.140625" style="1"/>
    <col min="13313" max="13313" width="7.7109375" style="1" customWidth="1"/>
    <col min="13314" max="13314" width="10.5703125" style="1" customWidth="1"/>
    <col min="13315" max="13315" width="11.140625" style="1" bestFit="1" customWidth="1"/>
    <col min="13316" max="13316" width="22.140625" style="1" bestFit="1" customWidth="1"/>
    <col min="13317" max="13317" width="12.28515625" style="1" customWidth="1"/>
    <col min="13318" max="13318" width="12.5703125" style="1" customWidth="1"/>
    <col min="13319" max="13319" width="12.140625" style="1" customWidth="1"/>
    <col min="13320" max="13320" width="19.7109375" style="1" customWidth="1"/>
    <col min="13321" max="13568" width="9.140625" style="1"/>
    <col min="13569" max="13569" width="7.7109375" style="1" customWidth="1"/>
    <col min="13570" max="13570" width="10.5703125" style="1" customWidth="1"/>
    <col min="13571" max="13571" width="11.140625" style="1" bestFit="1" customWidth="1"/>
    <col min="13572" max="13572" width="22.140625" style="1" bestFit="1" customWidth="1"/>
    <col min="13573" max="13573" width="12.28515625" style="1" customWidth="1"/>
    <col min="13574" max="13574" width="12.5703125" style="1" customWidth="1"/>
    <col min="13575" max="13575" width="12.140625" style="1" customWidth="1"/>
    <col min="13576" max="13576" width="19.7109375" style="1" customWidth="1"/>
    <col min="13577" max="13824" width="9.140625" style="1"/>
    <col min="13825" max="13825" width="7.7109375" style="1" customWidth="1"/>
    <col min="13826" max="13826" width="10.5703125" style="1" customWidth="1"/>
    <col min="13827" max="13827" width="11.140625" style="1" bestFit="1" customWidth="1"/>
    <col min="13828" max="13828" width="22.140625" style="1" bestFit="1" customWidth="1"/>
    <col min="13829" max="13829" width="12.28515625" style="1" customWidth="1"/>
    <col min="13830" max="13830" width="12.5703125" style="1" customWidth="1"/>
    <col min="13831" max="13831" width="12.140625" style="1" customWidth="1"/>
    <col min="13832" max="13832" width="19.7109375" style="1" customWidth="1"/>
    <col min="13833" max="14080" width="9.140625" style="1"/>
    <col min="14081" max="14081" width="7.7109375" style="1" customWidth="1"/>
    <col min="14082" max="14082" width="10.5703125" style="1" customWidth="1"/>
    <col min="14083" max="14083" width="11.140625" style="1" bestFit="1" customWidth="1"/>
    <col min="14084" max="14084" width="22.140625" style="1" bestFit="1" customWidth="1"/>
    <col min="14085" max="14085" width="12.28515625" style="1" customWidth="1"/>
    <col min="14086" max="14086" width="12.5703125" style="1" customWidth="1"/>
    <col min="14087" max="14087" width="12.140625" style="1" customWidth="1"/>
    <col min="14088" max="14088" width="19.7109375" style="1" customWidth="1"/>
    <col min="14089" max="14336" width="9.140625" style="1"/>
    <col min="14337" max="14337" width="7.7109375" style="1" customWidth="1"/>
    <col min="14338" max="14338" width="10.5703125" style="1" customWidth="1"/>
    <col min="14339" max="14339" width="11.140625" style="1" bestFit="1" customWidth="1"/>
    <col min="14340" max="14340" width="22.140625" style="1" bestFit="1" customWidth="1"/>
    <col min="14341" max="14341" width="12.28515625" style="1" customWidth="1"/>
    <col min="14342" max="14342" width="12.5703125" style="1" customWidth="1"/>
    <col min="14343" max="14343" width="12.140625" style="1" customWidth="1"/>
    <col min="14344" max="14344" width="19.7109375" style="1" customWidth="1"/>
    <col min="14345" max="14592" width="9.140625" style="1"/>
    <col min="14593" max="14593" width="7.7109375" style="1" customWidth="1"/>
    <col min="14594" max="14594" width="10.5703125" style="1" customWidth="1"/>
    <col min="14595" max="14595" width="11.140625" style="1" bestFit="1" customWidth="1"/>
    <col min="14596" max="14596" width="22.140625" style="1" bestFit="1" customWidth="1"/>
    <col min="14597" max="14597" width="12.28515625" style="1" customWidth="1"/>
    <col min="14598" max="14598" width="12.5703125" style="1" customWidth="1"/>
    <col min="14599" max="14599" width="12.140625" style="1" customWidth="1"/>
    <col min="14600" max="14600" width="19.7109375" style="1" customWidth="1"/>
    <col min="14601" max="14848" width="9.140625" style="1"/>
    <col min="14849" max="14849" width="7.7109375" style="1" customWidth="1"/>
    <col min="14850" max="14850" width="10.5703125" style="1" customWidth="1"/>
    <col min="14851" max="14851" width="11.140625" style="1" bestFit="1" customWidth="1"/>
    <col min="14852" max="14852" width="22.140625" style="1" bestFit="1" customWidth="1"/>
    <col min="14853" max="14853" width="12.28515625" style="1" customWidth="1"/>
    <col min="14854" max="14854" width="12.5703125" style="1" customWidth="1"/>
    <col min="14855" max="14855" width="12.140625" style="1" customWidth="1"/>
    <col min="14856" max="14856" width="19.7109375" style="1" customWidth="1"/>
    <col min="14857" max="15104" width="9.140625" style="1"/>
    <col min="15105" max="15105" width="7.7109375" style="1" customWidth="1"/>
    <col min="15106" max="15106" width="10.5703125" style="1" customWidth="1"/>
    <col min="15107" max="15107" width="11.140625" style="1" bestFit="1" customWidth="1"/>
    <col min="15108" max="15108" width="22.140625" style="1" bestFit="1" customWidth="1"/>
    <col min="15109" max="15109" width="12.28515625" style="1" customWidth="1"/>
    <col min="15110" max="15110" width="12.5703125" style="1" customWidth="1"/>
    <col min="15111" max="15111" width="12.140625" style="1" customWidth="1"/>
    <col min="15112" max="15112" width="19.7109375" style="1" customWidth="1"/>
    <col min="15113" max="15360" width="9.140625" style="1"/>
    <col min="15361" max="15361" width="7.7109375" style="1" customWidth="1"/>
    <col min="15362" max="15362" width="10.5703125" style="1" customWidth="1"/>
    <col min="15363" max="15363" width="11.140625" style="1" bestFit="1" customWidth="1"/>
    <col min="15364" max="15364" width="22.140625" style="1" bestFit="1" customWidth="1"/>
    <col min="15365" max="15365" width="12.28515625" style="1" customWidth="1"/>
    <col min="15366" max="15366" width="12.5703125" style="1" customWidth="1"/>
    <col min="15367" max="15367" width="12.140625" style="1" customWidth="1"/>
    <col min="15368" max="15368" width="19.7109375" style="1" customWidth="1"/>
    <col min="15369" max="15616" width="9.140625" style="1"/>
    <col min="15617" max="15617" width="7.7109375" style="1" customWidth="1"/>
    <col min="15618" max="15618" width="10.5703125" style="1" customWidth="1"/>
    <col min="15619" max="15619" width="11.140625" style="1" bestFit="1" customWidth="1"/>
    <col min="15620" max="15620" width="22.140625" style="1" bestFit="1" customWidth="1"/>
    <col min="15621" max="15621" width="12.28515625" style="1" customWidth="1"/>
    <col min="15622" max="15622" width="12.5703125" style="1" customWidth="1"/>
    <col min="15623" max="15623" width="12.140625" style="1" customWidth="1"/>
    <col min="15624" max="15624" width="19.7109375" style="1" customWidth="1"/>
    <col min="15625" max="15872" width="9.140625" style="1"/>
    <col min="15873" max="15873" width="7.7109375" style="1" customWidth="1"/>
    <col min="15874" max="15874" width="10.5703125" style="1" customWidth="1"/>
    <col min="15875" max="15875" width="11.140625" style="1" bestFit="1" customWidth="1"/>
    <col min="15876" max="15876" width="22.140625" style="1" bestFit="1" customWidth="1"/>
    <col min="15877" max="15877" width="12.28515625" style="1" customWidth="1"/>
    <col min="15878" max="15878" width="12.5703125" style="1" customWidth="1"/>
    <col min="15879" max="15879" width="12.140625" style="1" customWidth="1"/>
    <col min="15880" max="15880" width="19.7109375" style="1" customWidth="1"/>
    <col min="15881" max="16128" width="9.140625" style="1"/>
    <col min="16129" max="16129" width="7.7109375" style="1" customWidth="1"/>
    <col min="16130" max="16130" width="10.5703125" style="1" customWidth="1"/>
    <col min="16131" max="16131" width="11.140625" style="1" bestFit="1" customWidth="1"/>
    <col min="16132" max="16132" width="22.140625" style="1" bestFit="1" customWidth="1"/>
    <col min="16133" max="16133" width="12.28515625" style="1" customWidth="1"/>
    <col min="16134" max="16134" width="12.5703125" style="1" customWidth="1"/>
    <col min="16135" max="16135" width="12.140625" style="1" customWidth="1"/>
    <col min="16136" max="16136" width="19.7109375" style="1" customWidth="1"/>
    <col min="16137" max="16384" width="9.140625" style="1"/>
  </cols>
  <sheetData>
    <row r="1" spans="1:7" ht="54" customHeight="1">
      <c r="A1" s="1757"/>
      <c r="B1" s="1757"/>
      <c r="C1" s="11"/>
      <c r="D1" s="11"/>
      <c r="E1" s="11"/>
      <c r="F1" s="11"/>
      <c r="G1" s="919" t="s">
        <v>1070</v>
      </c>
    </row>
    <row r="3" spans="1:7" ht="46.5" customHeight="1">
      <c r="A3" s="1661" t="s">
        <v>1032</v>
      </c>
      <c r="B3" s="1661"/>
      <c r="C3" s="1661"/>
      <c r="D3" s="1661"/>
      <c r="E3" s="1661"/>
      <c r="F3" s="1661"/>
      <c r="G3" s="1661"/>
    </row>
    <row r="4" spans="1:7" ht="15">
      <c r="A4" s="918"/>
      <c r="B4" s="918"/>
      <c r="C4" s="918"/>
      <c r="D4" s="918"/>
      <c r="E4" s="918"/>
      <c r="F4" s="918"/>
      <c r="G4" s="9" t="s">
        <v>45</v>
      </c>
    </row>
    <row r="5" spans="1:7" ht="20.100000000000001" customHeight="1" thickBot="1">
      <c r="A5" s="1743" t="s">
        <v>49</v>
      </c>
      <c r="B5" s="1743"/>
      <c r="C5" s="1743"/>
      <c r="D5" s="1743"/>
      <c r="E5" s="1743"/>
      <c r="F5" s="1743"/>
      <c r="G5" s="1743"/>
    </row>
    <row r="6" spans="1:7" ht="20.100000000000001" customHeight="1">
      <c r="A6" s="1744" t="s">
        <v>0</v>
      </c>
      <c r="B6" s="1746" t="s">
        <v>1</v>
      </c>
      <c r="C6" s="1766" t="s">
        <v>8</v>
      </c>
      <c r="D6" s="1748" t="s">
        <v>1026</v>
      </c>
      <c r="E6" s="1746" t="s">
        <v>2</v>
      </c>
      <c r="F6" s="1746"/>
      <c r="G6" s="1750" t="s">
        <v>47</v>
      </c>
    </row>
    <row r="7" spans="1:7" ht="20.100000000000001" customHeight="1">
      <c r="A7" s="1745"/>
      <c r="B7" s="1747"/>
      <c r="C7" s="1767"/>
      <c r="D7" s="1749"/>
      <c r="E7" s="1030" t="s">
        <v>44</v>
      </c>
      <c r="F7" s="1030" t="s">
        <v>43</v>
      </c>
      <c r="G7" s="1751"/>
    </row>
    <row r="8" spans="1:7" ht="39.950000000000003" customHeight="1">
      <c r="A8" s="1752">
        <v>630</v>
      </c>
      <c r="B8" s="1754">
        <v>63095</v>
      </c>
      <c r="C8" s="1032">
        <v>6207</v>
      </c>
      <c r="D8" s="1033">
        <f>SUM(E8:F8)</f>
        <v>36422075</v>
      </c>
      <c r="E8" s="1033">
        <v>0</v>
      </c>
      <c r="F8" s="1074">
        <v>36422075</v>
      </c>
      <c r="G8" s="1736" t="s">
        <v>1033</v>
      </c>
    </row>
    <row r="9" spans="1:7" ht="39.950000000000003" customHeight="1">
      <c r="A9" s="1760"/>
      <c r="B9" s="1755"/>
      <c r="C9" s="1031">
        <v>6209</v>
      </c>
      <c r="D9" s="1033">
        <f>SUM(E9:F9)</f>
        <v>11506874</v>
      </c>
      <c r="E9" s="1085">
        <v>0</v>
      </c>
      <c r="F9" s="1086">
        <v>11506874</v>
      </c>
      <c r="G9" s="1738"/>
    </row>
    <row r="10" spans="1:7" ht="20.100000000000001" customHeight="1" thickBot="1">
      <c r="A10" s="1740" t="s">
        <v>46</v>
      </c>
      <c r="B10" s="1741"/>
      <c r="C10" s="1741"/>
      <c r="D10" s="1048">
        <f>SUM(D8:D9)</f>
        <v>47928949</v>
      </c>
      <c r="E10" s="1048">
        <f t="shared" ref="E10:F10" si="0">SUM(E8:E9)</f>
        <v>0</v>
      </c>
      <c r="F10" s="1048">
        <f t="shared" si="0"/>
        <v>47928949</v>
      </c>
      <c r="G10" s="1049"/>
    </row>
    <row r="11" spans="1:7" ht="15">
      <c r="A11" s="918"/>
      <c r="B11" s="918"/>
      <c r="C11" s="918"/>
      <c r="D11" s="918"/>
      <c r="E11" s="918"/>
      <c r="F11" s="918"/>
      <c r="G11" s="9"/>
    </row>
    <row r="12" spans="1:7" ht="20.100000000000001" customHeight="1" thickBot="1">
      <c r="A12" s="1743" t="s">
        <v>48</v>
      </c>
      <c r="B12" s="1743"/>
      <c r="C12" s="1743"/>
      <c r="D12" s="1743"/>
      <c r="E12" s="1743"/>
      <c r="F12" s="1743"/>
      <c r="G12" s="1743"/>
    </row>
    <row r="13" spans="1:7" ht="20.100000000000001" customHeight="1">
      <c r="A13" s="1744" t="s">
        <v>0</v>
      </c>
      <c r="B13" s="1746" t="s">
        <v>1</v>
      </c>
      <c r="C13" s="1766" t="s">
        <v>8</v>
      </c>
      <c r="D13" s="1748" t="s">
        <v>1026</v>
      </c>
      <c r="E13" s="1746" t="s">
        <v>2</v>
      </c>
      <c r="F13" s="1746"/>
      <c r="G13" s="1750" t="s">
        <v>47</v>
      </c>
    </row>
    <row r="14" spans="1:7" ht="20.100000000000001" customHeight="1">
      <c r="A14" s="1745"/>
      <c r="B14" s="1747"/>
      <c r="C14" s="1767"/>
      <c r="D14" s="1749"/>
      <c r="E14" s="1030" t="s">
        <v>44</v>
      </c>
      <c r="F14" s="1030" t="s">
        <v>43</v>
      </c>
      <c r="G14" s="1751"/>
    </row>
    <row r="15" spans="1:7" ht="39.950000000000003" customHeight="1">
      <c r="A15" s="1752">
        <v>630</v>
      </c>
      <c r="B15" s="1754">
        <v>63095</v>
      </c>
      <c r="C15" s="1032">
        <v>6207</v>
      </c>
      <c r="D15" s="1033">
        <f>SUM(E15:F15)</f>
        <v>1052655</v>
      </c>
      <c r="E15" s="1033">
        <v>0</v>
      </c>
      <c r="F15" s="1074">
        <v>1052655</v>
      </c>
      <c r="G15" s="1736" t="s">
        <v>1033</v>
      </c>
    </row>
    <row r="16" spans="1:7" ht="39.950000000000003" customHeight="1">
      <c r="A16" s="1760"/>
      <c r="B16" s="1755"/>
      <c r="C16" s="1032">
        <v>6209</v>
      </c>
      <c r="D16" s="1033">
        <f>SUM(E16:F16)</f>
        <v>332600</v>
      </c>
      <c r="E16" s="1033">
        <v>0</v>
      </c>
      <c r="F16" s="1074">
        <v>332600</v>
      </c>
      <c r="G16" s="1738"/>
    </row>
    <row r="17" spans="1:7" ht="45" customHeight="1">
      <c r="A17" s="1041">
        <v>750</v>
      </c>
      <c r="B17" s="1032">
        <v>75095</v>
      </c>
      <c r="C17" s="1032">
        <v>6209</v>
      </c>
      <c r="D17" s="1033">
        <f>SUM(E17:F17)</f>
        <v>1848485</v>
      </c>
      <c r="E17" s="1033">
        <v>0</v>
      </c>
      <c r="F17" s="1074">
        <v>1848485</v>
      </c>
      <c r="G17" s="1087" t="s">
        <v>1034</v>
      </c>
    </row>
    <row r="18" spans="1:7" ht="20.100000000000001" customHeight="1" thickBot="1">
      <c r="A18" s="1740" t="s">
        <v>46</v>
      </c>
      <c r="B18" s="1741"/>
      <c r="C18" s="1741"/>
      <c r="D18" s="1048">
        <f>SUM(D15:D17)</f>
        <v>3233740</v>
      </c>
      <c r="E18" s="1048">
        <f t="shared" ref="E18:F18" si="1">SUM(E15:E17)</f>
        <v>0</v>
      </c>
      <c r="F18" s="1048">
        <f t="shared" si="1"/>
        <v>3233740</v>
      </c>
      <c r="G18" s="1049"/>
    </row>
    <row r="19" spans="1:7" s="1061" customFormat="1"/>
    <row r="20" spans="1:7">
      <c r="A20" s="1088"/>
      <c r="B20" s="1088"/>
      <c r="C20" s="1088"/>
      <c r="D20" s="1056"/>
      <c r="E20" s="1056"/>
      <c r="F20" s="1056"/>
      <c r="G20" s="1000"/>
    </row>
    <row r="21" spans="1:7">
      <c r="D21" s="2"/>
      <c r="G21" s="1000"/>
    </row>
    <row r="22" spans="1:7" s="1061" customFormat="1">
      <c r="G22" s="1001"/>
    </row>
  </sheetData>
  <mergeCells count="24">
    <mergeCell ref="A1:B1"/>
    <mergeCell ref="A3:G3"/>
    <mergeCell ref="A5:G5"/>
    <mergeCell ref="A6:A7"/>
    <mergeCell ref="B6:B7"/>
    <mergeCell ref="C6:C7"/>
    <mergeCell ref="D6:D7"/>
    <mergeCell ref="E6:F6"/>
    <mergeCell ref="G6:G7"/>
    <mergeCell ref="A8:A9"/>
    <mergeCell ref="B8:B9"/>
    <mergeCell ref="G8:G9"/>
    <mergeCell ref="A10:C10"/>
    <mergeCell ref="A12:G12"/>
    <mergeCell ref="G13:G14"/>
    <mergeCell ref="A15:A16"/>
    <mergeCell ref="B15:B16"/>
    <mergeCell ref="G15:G16"/>
    <mergeCell ref="A18:C18"/>
    <mergeCell ref="A13:A14"/>
    <mergeCell ref="B13:B14"/>
    <mergeCell ref="C13:C14"/>
    <mergeCell ref="D13:D14"/>
    <mergeCell ref="E13:F13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90" orientation="landscape" r:id="rId1"/>
  <headerFooter alignWithMargins="0">
    <oddFooter>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J20"/>
  <sheetViews>
    <sheetView view="pageBreakPreview" zoomScaleSheetLayoutView="100" workbookViewId="0">
      <selection activeCell="G1" sqref="G1"/>
    </sheetView>
  </sheetViews>
  <sheetFormatPr defaultRowHeight="12.75"/>
  <cols>
    <col min="1" max="6" width="12.7109375" style="1" customWidth="1"/>
    <col min="7" max="7" width="60.7109375" style="1" customWidth="1"/>
    <col min="8" max="8" width="19.7109375" style="1" customWidth="1"/>
    <col min="9" max="9" width="9.140625" style="1"/>
    <col min="10" max="10" width="11.140625" style="1" bestFit="1" customWidth="1"/>
    <col min="11" max="256" width="9.140625" style="1"/>
    <col min="257" max="257" width="7.7109375" style="1" customWidth="1"/>
    <col min="258" max="258" width="10.5703125" style="1" customWidth="1"/>
    <col min="259" max="259" width="11.140625" style="1" bestFit="1" customWidth="1"/>
    <col min="260" max="260" width="22.140625" style="1" bestFit="1" customWidth="1"/>
    <col min="261" max="261" width="12.28515625" style="1" customWidth="1"/>
    <col min="262" max="262" width="12.5703125" style="1" customWidth="1"/>
    <col min="263" max="263" width="12.140625" style="1" customWidth="1"/>
    <col min="264" max="264" width="19.7109375" style="1" customWidth="1"/>
    <col min="265" max="512" width="9.140625" style="1"/>
    <col min="513" max="513" width="7.7109375" style="1" customWidth="1"/>
    <col min="514" max="514" width="10.5703125" style="1" customWidth="1"/>
    <col min="515" max="515" width="11.140625" style="1" bestFit="1" customWidth="1"/>
    <col min="516" max="516" width="22.140625" style="1" bestFit="1" customWidth="1"/>
    <col min="517" max="517" width="12.28515625" style="1" customWidth="1"/>
    <col min="518" max="518" width="12.5703125" style="1" customWidth="1"/>
    <col min="519" max="519" width="12.140625" style="1" customWidth="1"/>
    <col min="520" max="520" width="19.7109375" style="1" customWidth="1"/>
    <col min="521" max="768" width="9.140625" style="1"/>
    <col min="769" max="769" width="7.7109375" style="1" customWidth="1"/>
    <col min="770" max="770" width="10.5703125" style="1" customWidth="1"/>
    <col min="771" max="771" width="11.140625" style="1" bestFit="1" customWidth="1"/>
    <col min="772" max="772" width="22.140625" style="1" bestFit="1" customWidth="1"/>
    <col min="773" max="773" width="12.28515625" style="1" customWidth="1"/>
    <col min="774" max="774" width="12.5703125" style="1" customWidth="1"/>
    <col min="775" max="775" width="12.140625" style="1" customWidth="1"/>
    <col min="776" max="776" width="19.7109375" style="1" customWidth="1"/>
    <col min="777" max="1024" width="9.140625" style="1"/>
    <col min="1025" max="1025" width="7.7109375" style="1" customWidth="1"/>
    <col min="1026" max="1026" width="10.5703125" style="1" customWidth="1"/>
    <col min="1027" max="1027" width="11.140625" style="1" bestFit="1" customWidth="1"/>
    <col min="1028" max="1028" width="22.140625" style="1" bestFit="1" customWidth="1"/>
    <col min="1029" max="1029" width="12.28515625" style="1" customWidth="1"/>
    <col min="1030" max="1030" width="12.5703125" style="1" customWidth="1"/>
    <col min="1031" max="1031" width="12.140625" style="1" customWidth="1"/>
    <col min="1032" max="1032" width="19.7109375" style="1" customWidth="1"/>
    <col min="1033" max="1280" width="9.140625" style="1"/>
    <col min="1281" max="1281" width="7.7109375" style="1" customWidth="1"/>
    <col min="1282" max="1282" width="10.5703125" style="1" customWidth="1"/>
    <col min="1283" max="1283" width="11.140625" style="1" bestFit="1" customWidth="1"/>
    <col min="1284" max="1284" width="22.140625" style="1" bestFit="1" customWidth="1"/>
    <col min="1285" max="1285" width="12.28515625" style="1" customWidth="1"/>
    <col min="1286" max="1286" width="12.5703125" style="1" customWidth="1"/>
    <col min="1287" max="1287" width="12.140625" style="1" customWidth="1"/>
    <col min="1288" max="1288" width="19.7109375" style="1" customWidth="1"/>
    <col min="1289" max="1536" width="9.140625" style="1"/>
    <col min="1537" max="1537" width="7.7109375" style="1" customWidth="1"/>
    <col min="1538" max="1538" width="10.5703125" style="1" customWidth="1"/>
    <col min="1539" max="1539" width="11.140625" style="1" bestFit="1" customWidth="1"/>
    <col min="1540" max="1540" width="22.140625" style="1" bestFit="1" customWidth="1"/>
    <col min="1541" max="1541" width="12.28515625" style="1" customWidth="1"/>
    <col min="1542" max="1542" width="12.5703125" style="1" customWidth="1"/>
    <col min="1543" max="1543" width="12.140625" style="1" customWidth="1"/>
    <col min="1544" max="1544" width="19.7109375" style="1" customWidth="1"/>
    <col min="1545" max="1792" width="9.140625" style="1"/>
    <col min="1793" max="1793" width="7.7109375" style="1" customWidth="1"/>
    <col min="1794" max="1794" width="10.5703125" style="1" customWidth="1"/>
    <col min="1795" max="1795" width="11.140625" style="1" bestFit="1" customWidth="1"/>
    <col min="1796" max="1796" width="22.140625" style="1" bestFit="1" customWidth="1"/>
    <col min="1797" max="1797" width="12.28515625" style="1" customWidth="1"/>
    <col min="1798" max="1798" width="12.5703125" style="1" customWidth="1"/>
    <col min="1799" max="1799" width="12.140625" style="1" customWidth="1"/>
    <col min="1800" max="1800" width="19.7109375" style="1" customWidth="1"/>
    <col min="1801" max="2048" width="9.140625" style="1"/>
    <col min="2049" max="2049" width="7.7109375" style="1" customWidth="1"/>
    <col min="2050" max="2050" width="10.5703125" style="1" customWidth="1"/>
    <col min="2051" max="2051" width="11.140625" style="1" bestFit="1" customWidth="1"/>
    <col min="2052" max="2052" width="22.140625" style="1" bestFit="1" customWidth="1"/>
    <col min="2053" max="2053" width="12.28515625" style="1" customWidth="1"/>
    <col min="2054" max="2054" width="12.5703125" style="1" customWidth="1"/>
    <col min="2055" max="2055" width="12.140625" style="1" customWidth="1"/>
    <col min="2056" max="2056" width="19.7109375" style="1" customWidth="1"/>
    <col min="2057" max="2304" width="9.140625" style="1"/>
    <col min="2305" max="2305" width="7.7109375" style="1" customWidth="1"/>
    <col min="2306" max="2306" width="10.5703125" style="1" customWidth="1"/>
    <col min="2307" max="2307" width="11.140625" style="1" bestFit="1" customWidth="1"/>
    <col min="2308" max="2308" width="22.140625" style="1" bestFit="1" customWidth="1"/>
    <col min="2309" max="2309" width="12.28515625" style="1" customWidth="1"/>
    <col min="2310" max="2310" width="12.5703125" style="1" customWidth="1"/>
    <col min="2311" max="2311" width="12.140625" style="1" customWidth="1"/>
    <col min="2312" max="2312" width="19.7109375" style="1" customWidth="1"/>
    <col min="2313" max="2560" width="9.140625" style="1"/>
    <col min="2561" max="2561" width="7.7109375" style="1" customWidth="1"/>
    <col min="2562" max="2562" width="10.5703125" style="1" customWidth="1"/>
    <col min="2563" max="2563" width="11.140625" style="1" bestFit="1" customWidth="1"/>
    <col min="2564" max="2564" width="22.140625" style="1" bestFit="1" customWidth="1"/>
    <col min="2565" max="2565" width="12.28515625" style="1" customWidth="1"/>
    <col min="2566" max="2566" width="12.5703125" style="1" customWidth="1"/>
    <col min="2567" max="2567" width="12.140625" style="1" customWidth="1"/>
    <col min="2568" max="2568" width="19.7109375" style="1" customWidth="1"/>
    <col min="2569" max="2816" width="9.140625" style="1"/>
    <col min="2817" max="2817" width="7.7109375" style="1" customWidth="1"/>
    <col min="2818" max="2818" width="10.5703125" style="1" customWidth="1"/>
    <col min="2819" max="2819" width="11.140625" style="1" bestFit="1" customWidth="1"/>
    <col min="2820" max="2820" width="22.140625" style="1" bestFit="1" customWidth="1"/>
    <col min="2821" max="2821" width="12.28515625" style="1" customWidth="1"/>
    <col min="2822" max="2822" width="12.5703125" style="1" customWidth="1"/>
    <col min="2823" max="2823" width="12.140625" style="1" customWidth="1"/>
    <col min="2824" max="2824" width="19.7109375" style="1" customWidth="1"/>
    <col min="2825" max="3072" width="9.140625" style="1"/>
    <col min="3073" max="3073" width="7.7109375" style="1" customWidth="1"/>
    <col min="3074" max="3074" width="10.5703125" style="1" customWidth="1"/>
    <col min="3075" max="3075" width="11.140625" style="1" bestFit="1" customWidth="1"/>
    <col min="3076" max="3076" width="22.140625" style="1" bestFit="1" customWidth="1"/>
    <col min="3077" max="3077" width="12.28515625" style="1" customWidth="1"/>
    <col min="3078" max="3078" width="12.5703125" style="1" customWidth="1"/>
    <col min="3079" max="3079" width="12.140625" style="1" customWidth="1"/>
    <col min="3080" max="3080" width="19.7109375" style="1" customWidth="1"/>
    <col min="3081" max="3328" width="9.140625" style="1"/>
    <col min="3329" max="3329" width="7.7109375" style="1" customWidth="1"/>
    <col min="3330" max="3330" width="10.5703125" style="1" customWidth="1"/>
    <col min="3331" max="3331" width="11.140625" style="1" bestFit="1" customWidth="1"/>
    <col min="3332" max="3332" width="22.140625" style="1" bestFit="1" customWidth="1"/>
    <col min="3333" max="3333" width="12.28515625" style="1" customWidth="1"/>
    <col min="3334" max="3334" width="12.5703125" style="1" customWidth="1"/>
    <col min="3335" max="3335" width="12.140625" style="1" customWidth="1"/>
    <col min="3336" max="3336" width="19.7109375" style="1" customWidth="1"/>
    <col min="3337" max="3584" width="9.140625" style="1"/>
    <col min="3585" max="3585" width="7.7109375" style="1" customWidth="1"/>
    <col min="3586" max="3586" width="10.5703125" style="1" customWidth="1"/>
    <col min="3587" max="3587" width="11.140625" style="1" bestFit="1" customWidth="1"/>
    <col min="3588" max="3588" width="22.140625" style="1" bestFit="1" customWidth="1"/>
    <col min="3589" max="3589" width="12.28515625" style="1" customWidth="1"/>
    <col min="3590" max="3590" width="12.5703125" style="1" customWidth="1"/>
    <col min="3591" max="3591" width="12.140625" style="1" customWidth="1"/>
    <col min="3592" max="3592" width="19.7109375" style="1" customWidth="1"/>
    <col min="3593" max="3840" width="9.140625" style="1"/>
    <col min="3841" max="3841" width="7.7109375" style="1" customWidth="1"/>
    <col min="3842" max="3842" width="10.5703125" style="1" customWidth="1"/>
    <col min="3843" max="3843" width="11.140625" style="1" bestFit="1" customWidth="1"/>
    <col min="3844" max="3844" width="22.140625" style="1" bestFit="1" customWidth="1"/>
    <col min="3845" max="3845" width="12.28515625" style="1" customWidth="1"/>
    <col min="3846" max="3846" width="12.5703125" style="1" customWidth="1"/>
    <col min="3847" max="3847" width="12.140625" style="1" customWidth="1"/>
    <col min="3848" max="3848" width="19.7109375" style="1" customWidth="1"/>
    <col min="3849" max="4096" width="9.140625" style="1"/>
    <col min="4097" max="4097" width="7.7109375" style="1" customWidth="1"/>
    <col min="4098" max="4098" width="10.5703125" style="1" customWidth="1"/>
    <col min="4099" max="4099" width="11.140625" style="1" bestFit="1" customWidth="1"/>
    <col min="4100" max="4100" width="22.140625" style="1" bestFit="1" customWidth="1"/>
    <col min="4101" max="4101" width="12.28515625" style="1" customWidth="1"/>
    <col min="4102" max="4102" width="12.5703125" style="1" customWidth="1"/>
    <col min="4103" max="4103" width="12.140625" style="1" customWidth="1"/>
    <col min="4104" max="4104" width="19.7109375" style="1" customWidth="1"/>
    <col min="4105" max="4352" width="9.140625" style="1"/>
    <col min="4353" max="4353" width="7.7109375" style="1" customWidth="1"/>
    <col min="4354" max="4354" width="10.5703125" style="1" customWidth="1"/>
    <col min="4355" max="4355" width="11.140625" style="1" bestFit="1" customWidth="1"/>
    <col min="4356" max="4356" width="22.140625" style="1" bestFit="1" customWidth="1"/>
    <col min="4357" max="4357" width="12.28515625" style="1" customWidth="1"/>
    <col min="4358" max="4358" width="12.5703125" style="1" customWidth="1"/>
    <col min="4359" max="4359" width="12.140625" style="1" customWidth="1"/>
    <col min="4360" max="4360" width="19.7109375" style="1" customWidth="1"/>
    <col min="4361" max="4608" width="9.140625" style="1"/>
    <col min="4609" max="4609" width="7.7109375" style="1" customWidth="1"/>
    <col min="4610" max="4610" width="10.5703125" style="1" customWidth="1"/>
    <col min="4611" max="4611" width="11.140625" style="1" bestFit="1" customWidth="1"/>
    <col min="4612" max="4612" width="22.140625" style="1" bestFit="1" customWidth="1"/>
    <col min="4613" max="4613" width="12.28515625" style="1" customWidth="1"/>
    <col min="4614" max="4614" width="12.5703125" style="1" customWidth="1"/>
    <col min="4615" max="4615" width="12.140625" style="1" customWidth="1"/>
    <col min="4616" max="4616" width="19.7109375" style="1" customWidth="1"/>
    <col min="4617" max="4864" width="9.140625" style="1"/>
    <col min="4865" max="4865" width="7.7109375" style="1" customWidth="1"/>
    <col min="4866" max="4866" width="10.5703125" style="1" customWidth="1"/>
    <col min="4867" max="4867" width="11.140625" style="1" bestFit="1" customWidth="1"/>
    <col min="4868" max="4868" width="22.140625" style="1" bestFit="1" customWidth="1"/>
    <col min="4869" max="4869" width="12.28515625" style="1" customWidth="1"/>
    <col min="4870" max="4870" width="12.5703125" style="1" customWidth="1"/>
    <col min="4871" max="4871" width="12.140625" style="1" customWidth="1"/>
    <col min="4872" max="4872" width="19.7109375" style="1" customWidth="1"/>
    <col min="4873" max="5120" width="9.140625" style="1"/>
    <col min="5121" max="5121" width="7.7109375" style="1" customWidth="1"/>
    <col min="5122" max="5122" width="10.5703125" style="1" customWidth="1"/>
    <col min="5123" max="5123" width="11.140625" style="1" bestFit="1" customWidth="1"/>
    <col min="5124" max="5124" width="22.140625" style="1" bestFit="1" customWidth="1"/>
    <col min="5125" max="5125" width="12.28515625" style="1" customWidth="1"/>
    <col min="5126" max="5126" width="12.5703125" style="1" customWidth="1"/>
    <col min="5127" max="5127" width="12.140625" style="1" customWidth="1"/>
    <col min="5128" max="5128" width="19.7109375" style="1" customWidth="1"/>
    <col min="5129" max="5376" width="9.140625" style="1"/>
    <col min="5377" max="5377" width="7.7109375" style="1" customWidth="1"/>
    <col min="5378" max="5378" width="10.5703125" style="1" customWidth="1"/>
    <col min="5379" max="5379" width="11.140625" style="1" bestFit="1" customWidth="1"/>
    <col min="5380" max="5380" width="22.140625" style="1" bestFit="1" customWidth="1"/>
    <col min="5381" max="5381" width="12.28515625" style="1" customWidth="1"/>
    <col min="5382" max="5382" width="12.5703125" style="1" customWidth="1"/>
    <col min="5383" max="5383" width="12.140625" style="1" customWidth="1"/>
    <col min="5384" max="5384" width="19.7109375" style="1" customWidth="1"/>
    <col min="5385" max="5632" width="9.140625" style="1"/>
    <col min="5633" max="5633" width="7.7109375" style="1" customWidth="1"/>
    <col min="5634" max="5634" width="10.5703125" style="1" customWidth="1"/>
    <col min="5635" max="5635" width="11.140625" style="1" bestFit="1" customWidth="1"/>
    <col min="5636" max="5636" width="22.140625" style="1" bestFit="1" customWidth="1"/>
    <col min="5637" max="5637" width="12.28515625" style="1" customWidth="1"/>
    <col min="5638" max="5638" width="12.5703125" style="1" customWidth="1"/>
    <col min="5639" max="5639" width="12.140625" style="1" customWidth="1"/>
    <col min="5640" max="5640" width="19.7109375" style="1" customWidth="1"/>
    <col min="5641" max="5888" width="9.140625" style="1"/>
    <col min="5889" max="5889" width="7.7109375" style="1" customWidth="1"/>
    <col min="5890" max="5890" width="10.5703125" style="1" customWidth="1"/>
    <col min="5891" max="5891" width="11.140625" style="1" bestFit="1" customWidth="1"/>
    <col min="5892" max="5892" width="22.140625" style="1" bestFit="1" customWidth="1"/>
    <col min="5893" max="5893" width="12.28515625" style="1" customWidth="1"/>
    <col min="5894" max="5894" width="12.5703125" style="1" customWidth="1"/>
    <col min="5895" max="5895" width="12.140625" style="1" customWidth="1"/>
    <col min="5896" max="5896" width="19.7109375" style="1" customWidth="1"/>
    <col min="5897" max="6144" width="9.140625" style="1"/>
    <col min="6145" max="6145" width="7.7109375" style="1" customWidth="1"/>
    <col min="6146" max="6146" width="10.5703125" style="1" customWidth="1"/>
    <col min="6147" max="6147" width="11.140625" style="1" bestFit="1" customWidth="1"/>
    <col min="6148" max="6148" width="22.140625" style="1" bestFit="1" customWidth="1"/>
    <col min="6149" max="6149" width="12.28515625" style="1" customWidth="1"/>
    <col min="6150" max="6150" width="12.5703125" style="1" customWidth="1"/>
    <col min="6151" max="6151" width="12.140625" style="1" customWidth="1"/>
    <col min="6152" max="6152" width="19.7109375" style="1" customWidth="1"/>
    <col min="6153" max="6400" width="9.140625" style="1"/>
    <col min="6401" max="6401" width="7.7109375" style="1" customWidth="1"/>
    <col min="6402" max="6402" width="10.5703125" style="1" customWidth="1"/>
    <col min="6403" max="6403" width="11.140625" style="1" bestFit="1" customWidth="1"/>
    <col min="6404" max="6404" width="22.140625" style="1" bestFit="1" customWidth="1"/>
    <col min="6405" max="6405" width="12.28515625" style="1" customWidth="1"/>
    <col min="6406" max="6406" width="12.5703125" style="1" customWidth="1"/>
    <col min="6407" max="6407" width="12.140625" style="1" customWidth="1"/>
    <col min="6408" max="6408" width="19.7109375" style="1" customWidth="1"/>
    <col min="6409" max="6656" width="9.140625" style="1"/>
    <col min="6657" max="6657" width="7.7109375" style="1" customWidth="1"/>
    <col min="6658" max="6658" width="10.5703125" style="1" customWidth="1"/>
    <col min="6659" max="6659" width="11.140625" style="1" bestFit="1" customWidth="1"/>
    <col min="6660" max="6660" width="22.140625" style="1" bestFit="1" customWidth="1"/>
    <col min="6661" max="6661" width="12.28515625" style="1" customWidth="1"/>
    <col min="6662" max="6662" width="12.5703125" style="1" customWidth="1"/>
    <col min="6663" max="6663" width="12.140625" style="1" customWidth="1"/>
    <col min="6664" max="6664" width="19.7109375" style="1" customWidth="1"/>
    <col min="6665" max="6912" width="9.140625" style="1"/>
    <col min="6913" max="6913" width="7.7109375" style="1" customWidth="1"/>
    <col min="6914" max="6914" width="10.5703125" style="1" customWidth="1"/>
    <col min="6915" max="6915" width="11.140625" style="1" bestFit="1" customWidth="1"/>
    <col min="6916" max="6916" width="22.140625" style="1" bestFit="1" customWidth="1"/>
    <col min="6917" max="6917" width="12.28515625" style="1" customWidth="1"/>
    <col min="6918" max="6918" width="12.5703125" style="1" customWidth="1"/>
    <col min="6919" max="6919" width="12.140625" style="1" customWidth="1"/>
    <col min="6920" max="6920" width="19.7109375" style="1" customWidth="1"/>
    <col min="6921" max="7168" width="9.140625" style="1"/>
    <col min="7169" max="7169" width="7.7109375" style="1" customWidth="1"/>
    <col min="7170" max="7170" width="10.5703125" style="1" customWidth="1"/>
    <col min="7171" max="7171" width="11.140625" style="1" bestFit="1" customWidth="1"/>
    <col min="7172" max="7172" width="22.140625" style="1" bestFit="1" customWidth="1"/>
    <col min="7173" max="7173" width="12.28515625" style="1" customWidth="1"/>
    <col min="7174" max="7174" width="12.5703125" style="1" customWidth="1"/>
    <col min="7175" max="7175" width="12.140625" style="1" customWidth="1"/>
    <col min="7176" max="7176" width="19.7109375" style="1" customWidth="1"/>
    <col min="7177" max="7424" width="9.140625" style="1"/>
    <col min="7425" max="7425" width="7.7109375" style="1" customWidth="1"/>
    <col min="7426" max="7426" width="10.5703125" style="1" customWidth="1"/>
    <col min="7427" max="7427" width="11.140625" style="1" bestFit="1" customWidth="1"/>
    <col min="7428" max="7428" width="22.140625" style="1" bestFit="1" customWidth="1"/>
    <col min="7429" max="7429" width="12.28515625" style="1" customWidth="1"/>
    <col min="7430" max="7430" width="12.5703125" style="1" customWidth="1"/>
    <col min="7431" max="7431" width="12.140625" style="1" customWidth="1"/>
    <col min="7432" max="7432" width="19.7109375" style="1" customWidth="1"/>
    <col min="7433" max="7680" width="9.140625" style="1"/>
    <col min="7681" max="7681" width="7.7109375" style="1" customWidth="1"/>
    <col min="7682" max="7682" width="10.5703125" style="1" customWidth="1"/>
    <col min="7683" max="7683" width="11.140625" style="1" bestFit="1" customWidth="1"/>
    <col min="7684" max="7684" width="22.140625" style="1" bestFit="1" customWidth="1"/>
    <col min="7685" max="7685" width="12.28515625" style="1" customWidth="1"/>
    <col min="7686" max="7686" width="12.5703125" style="1" customWidth="1"/>
    <col min="7687" max="7687" width="12.140625" style="1" customWidth="1"/>
    <col min="7688" max="7688" width="19.7109375" style="1" customWidth="1"/>
    <col min="7689" max="7936" width="9.140625" style="1"/>
    <col min="7937" max="7937" width="7.7109375" style="1" customWidth="1"/>
    <col min="7938" max="7938" width="10.5703125" style="1" customWidth="1"/>
    <col min="7939" max="7939" width="11.140625" style="1" bestFit="1" customWidth="1"/>
    <col min="7940" max="7940" width="22.140625" style="1" bestFit="1" customWidth="1"/>
    <col min="7941" max="7941" width="12.28515625" style="1" customWidth="1"/>
    <col min="7942" max="7942" width="12.5703125" style="1" customWidth="1"/>
    <col min="7943" max="7943" width="12.140625" style="1" customWidth="1"/>
    <col min="7944" max="7944" width="19.7109375" style="1" customWidth="1"/>
    <col min="7945" max="8192" width="9.140625" style="1"/>
    <col min="8193" max="8193" width="7.7109375" style="1" customWidth="1"/>
    <col min="8194" max="8194" width="10.5703125" style="1" customWidth="1"/>
    <col min="8195" max="8195" width="11.140625" style="1" bestFit="1" customWidth="1"/>
    <col min="8196" max="8196" width="22.140625" style="1" bestFit="1" customWidth="1"/>
    <col min="8197" max="8197" width="12.28515625" style="1" customWidth="1"/>
    <col min="8198" max="8198" width="12.5703125" style="1" customWidth="1"/>
    <col min="8199" max="8199" width="12.140625" style="1" customWidth="1"/>
    <col min="8200" max="8200" width="19.7109375" style="1" customWidth="1"/>
    <col min="8201" max="8448" width="9.140625" style="1"/>
    <col min="8449" max="8449" width="7.7109375" style="1" customWidth="1"/>
    <col min="8450" max="8450" width="10.5703125" style="1" customWidth="1"/>
    <col min="8451" max="8451" width="11.140625" style="1" bestFit="1" customWidth="1"/>
    <col min="8452" max="8452" width="22.140625" style="1" bestFit="1" customWidth="1"/>
    <col min="8453" max="8453" width="12.28515625" style="1" customWidth="1"/>
    <col min="8454" max="8454" width="12.5703125" style="1" customWidth="1"/>
    <col min="8455" max="8455" width="12.140625" style="1" customWidth="1"/>
    <col min="8456" max="8456" width="19.7109375" style="1" customWidth="1"/>
    <col min="8457" max="8704" width="9.140625" style="1"/>
    <col min="8705" max="8705" width="7.7109375" style="1" customWidth="1"/>
    <col min="8706" max="8706" width="10.5703125" style="1" customWidth="1"/>
    <col min="8707" max="8707" width="11.140625" style="1" bestFit="1" customWidth="1"/>
    <col min="8708" max="8708" width="22.140625" style="1" bestFit="1" customWidth="1"/>
    <col min="8709" max="8709" width="12.28515625" style="1" customWidth="1"/>
    <col min="8710" max="8710" width="12.5703125" style="1" customWidth="1"/>
    <col min="8711" max="8711" width="12.140625" style="1" customWidth="1"/>
    <col min="8712" max="8712" width="19.7109375" style="1" customWidth="1"/>
    <col min="8713" max="8960" width="9.140625" style="1"/>
    <col min="8961" max="8961" width="7.7109375" style="1" customWidth="1"/>
    <col min="8962" max="8962" width="10.5703125" style="1" customWidth="1"/>
    <col min="8963" max="8963" width="11.140625" style="1" bestFit="1" customWidth="1"/>
    <col min="8964" max="8964" width="22.140625" style="1" bestFit="1" customWidth="1"/>
    <col min="8965" max="8965" width="12.28515625" style="1" customWidth="1"/>
    <col min="8966" max="8966" width="12.5703125" style="1" customWidth="1"/>
    <col min="8967" max="8967" width="12.140625" style="1" customWidth="1"/>
    <col min="8968" max="8968" width="19.7109375" style="1" customWidth="1"/>
    <col min="8969" max="9216" width="9.140625" style="1"/>
    <col min="9217" max="9217" width="7.7109375" style="1" customWidth="1"/>
    <col min="9218" max="9218" width="10.5703125" style="1" customWidth="1"/>
    <col min="9219" max="9219" width="11.140625" style="1" bestFit="1" customWidth="1"/>
    <col min="9220" max="9220" width="22.140625" style="1" bestFit="1" customWidth="1"/>
    <col min="9221" max="9221" width="12.28515625" style="1" customWidth="1"/>
    <col min="9222" max="9222" width="12.5703125" style="1" customWidth="1"/>
    <col min="9223" max="9223" width="12.140625" style="1" customWidth="1"/>
    <col min="9224" max="9224" width="19.7109375" style="1" customWidth="1"/>
    <col min="9225" max="9472" width="9.140625" style="1"/>
    <col min="9473" max="9473" width="7.7109375" style="1" customWidth="1"/>
    <col min="9474" max="9474" width="10.5703125" style="1" customWidth="1"/>
    <col min="9475" max="9475" width="11.140625" style="1" bestFit="1" customWidth="1"/>
    <col min="9476" max="9476" width="22.140625" style="1" bestFit="1" customWidth="1"/>
    <col min="9477" max="9477" width="12.28515625" style="1" customWidth="1"/>
    <col min="9478" max="9478" width="12.5703125" style="1" customWidth="1"/>
    <col min="9479" max="9479" width="12.140625" style="1" customWidth="1"/>
    <col min="9480" max="9480" width="19.7109375" style="1" customWidth="1"/>
    <col min="9481" max="9728" width="9.140625" style="1"/>
    <col min="9729" max="9729" width="7.7109375" style="1" customWidth="1"/>
    <col min="9730" max="9730" width="10.5703125" style="1" customWidth="1"/>
    <col min="9731" max="9731" width="11.140625" style="1" bestFit="1" customWidth="1"/>
    <col min="9732" max="9732" width="22.140625" style="1" bestFit="1" customWidth="1"/>
    <col min="9733" max="9733" width="12.28515625" style="1" customWidth="1"/>
    <col min="9734" max="9734" width="12.5703125" style="1" customWidth="1"/>
    <col min="9735" max="9735" width="12.140625" style="1" customWidth="1"/>
    <col min="9736" max="9736" width="19.7109375" style="1" customWidth="1"/>
    <col min="9737" max="9984" width="9.140625" style="1"/>
    <col min="9985" max="9985" width="7.7109375" style="1" customWidth="1"/>
    <col min="9986" max="9986" width="10.5703125" style="1" customWidth="1"/>
    <col min="9987" max="9987" width="11.140625" style="1" bestFit="1" customWidth="1"/>
    <col min="9988" max="9988" width="22.140625" style="1" bestFit="1" customWidth="1"/>
    <col min="9989" max="9989" width="12.28515625" style="1" customWidth="1"/>
    <col min="9990" max="9990" width="12.5703125" style="1" customWidth="1"/>
    <col min="9991" max="9991" width="12.140625" style="1" customWidth="1"/>
    <col min="9992" max="9992" width="19.7109375" style="1" customWidth="1"/>
    <col min="9993" max="10240" width="9.140625" style="1"/>
    <col min="10241" max="10241" width="7.7109375" style="1" customWidth="1"/>
    <col min="10242" max="10242" width="10.5703125" style="1" customWidth="1"/>
    <col min="10243" max="10243" width="11.140625" style="1" bestFit="1" customWidth="1"/>
    <col min="10244" max="10244" width="22.140625" style="1" bestFit="1" customWidth="1"/>
    <col min="10245" max="10245" width="12.28515625" style="1" customWidth="1"/>
    <col min="10246" max="10246" width="12.5703125" style="1" customWidth="1"/>
    <col min="10247" max="10247" width="12.140625" style="1" customWidth="1"/>
    <col min="10248" max="10248" width="19.7109375" style="1" customWidth="1"/>
    <col min="10249" max="10496" width="9.140625" style="1"/>
    <col min="10497" max="10497" width="7.7109375" style="1" customWidth="1"/>
    <col min="10498" max="10498" width="10.5703125" style="1" customWidth="1"/>
    <col min="10499" max="10499" width="11.140625" style="1" bestFit="1" customWidth="1"/>
    <col min="10500" max="10500" width="22.140625" style="1" bestFit="1" customWidth="1"/>
    <col min="10501" max="10501" width="12.28515625" style="1" customWidth="1"/>
    <col min="10502" max="10502" width="12.5703125" style="1" customWidth="1"/>
    <col min="10503" max="10503" width="12.140625" style="1" customWidth="1"/>
    <col min="10504" max="10504" width="19.7109375" style="1" customWidth="1"/>
    <col min="10505" max="10752" width="9.140625" style="1"/>
    <col min="10753" max="10753" width="7.7109375" style="1" customWidth="1"/>
    <col min="10754" max="10754" width="10.5703125" style="1" customWidth="1"/>
    <col min="10755" max="10755" width="11.140625" style="1" bestFit="1" customWidth="1"/>
    <col min="10756" max="10756" width="22.140625" style="1" bestFit="1" customWidth="1"/>
    <col min="10757" max="10757" width="12.28515625" style="1" customWidth="1"/>
    <col min="10758" max="10758" width="12.5703125" style="1" customWidth="1"/>
    <col min="10759" max="10759" width="12.140625" style="1" customWidth="1"/>
    <col min="10760" max="10760" width="19.7109375" style="1" customWidth="1"/>
    <col min="10761" max="11008" width="9.140625" style="1"/>
    <col min="11009" max="11009" width="7.7109375" style="1" customWidth="1"/>
    <col min="11010" max="11010" width="10.5703125" style="1" customWidth="1"/>
    <col min="11011" max="11011" width="11.140625" style="1" bestFit="1" customWidth="1"/>
    <col min="11012" max="11012" width="22.140625" style="1" bestFit="1" customWidth="1"/>
    <col min="11013" max="11013" width="12.28515625" style="1" customWidth="1"/>
    <col min="11014" max="11014" width="12.5703125" style="1" customWidth="1"/>
    <col min="11015" max="11015" width="12.140625" style="1" customWidth="1"/>
    <col min="11016" max="11016" width="19.7109375" style="1" customWidth="1"/>
    <col min="11017" max="11264" width="9.140625" style="1"/>
    <col min="11265" max="11265" width="7.7109375" style="1" customWidth="1"/>
    <col min="11266" max="11266" width="10.5703125" style="1" customWidth="1"/>
    <col min="11267" max="11267" width="11.140625" style="1" bestFit="1" customWidth="1"/>
    <col min="11268" max="11268" width="22.140625" style="1" bestFit="1" customWidth="1"/>
    <col min="11269" max="11269" width="12.28515625" style="1" customWidth="1"/>
    <col min="11270" max="11270" width="12.5703125" style="1" customWidth="1"/>
    <col min="11271" max="11271" width="12.140625" style="1" customWidth="1"/>
    <col min="11272" max="11272" width="19.7109375" style="1" customWidth="1"/>
    <col min="11273" max="11520" width="9.140625" style="1"/>
    <col min="11521" max="11521" width="7.7109375" style="1" customWidth="1"/>
    <col min="11522" max="11522" width="10.5703125" style="1" customWidth="1"/>
    <col min="11523" max="11523" width="11.140625" style="1" bestFit="1" customWidth="1"/>
    <col min="11524" max="11524" width="22.140625" style="1" bestFit="1" customWidth="1"/>
    <col min="11525" max="11525" width="12.28515625" style="1" customWidth="1"/>
    <col min="11526" max="11526" width="12.5703125" style="1" customWidth="1"/>
    <col min="11527" max="11527" width="12.140625" style="1" customWidth="1"/>
    <col min="11528" max="11528" width="19.7109375" style="1" customWidth="1"/>
    <col min="11529" max="11776" width="9.140625" style="1"/>
    <col min="11777" max="11777" width="7.7109375" style="1" customWidth="1"/>
    <col min="11778" max="11778" width="10.5703125" style="1" customWidth="1"/>
    <col min="11779" max="11779" width="11.140625" style="1" bestFit="1" customWidth="1"/>
    <col min="11780" max="11780" width="22.140625" style="1" bestFit="1" customWidth="1"/>
    <col min="11781" max="11781" width="12.28515625" style="1" customWidth="1"/>
    <col min="11782" max="11782" width="12.5703125" style="1" customWidth="1"/>
    <col min="11783" max="11783" width="12.140625" style="1" customWidth="1"/>
    <col min="11784" max="11784" width="19.7109375" style="1" customWidth="1"/>
    <col min="11785" max="12032" width="9.140625" style="1"/>
    <col min="12033" max="12033" width="7.7109375" style="1" customWidth="1"/>
    <col min="12034" max="12034" width="10.5703125" style="1" customWidth="1"/>
    <col min="12035" max="12035" width="11.140625" style="1" bestFit="1" customWidth="1"/>
    <col min="12036" max="12036" width="22.140625" style="1" bestFit="1" customWidth="1"/>
    <col min="12037" max="12037" width="12.28515625" style="1" customWidth="1"/>
    <col min="12038" max="12038" width="12.5703125" style="1" customWidth="1"/>
    <col min="12039" max="12039" width="12.140625" style="1" customWidth="1"/>
    <col min="12040" max="12040" width="19.7109375" style="1" customWidth="1"/>
    <col min="12041" max="12288" width="9.140625" style="1"/>
    <col min="12289" max="12289" width="7.7109375" style="1" customWidth="1"/>
    <col min="12290" max="12290" width="10.5703125" style="1" customWidth="1"/>
    <col min="12291" max="12291" width="11.140625" style="1" bestFit="1" customWidth="1"/>
    <col min="12292" max="12292" width="22.140625" style="1" bestFit="1" customWidth="1"/>
    <col min="12293" max="12293" width="12.28515625" style="1" customWidth="1"/>
    <col min="12294" max="12294" width="12.5703125" style="1" customWidth="1"/>
    <col min="12295" max="12295" width="12.140625" style="1" customWidth="1"/>
    <col min="12296" max="12296" width="19.7109375" style="1" customWidth="1"/>
    <col min="12297" max="12544" width="9.140625" style="1"/>
    <col min="12545" max="12545" width="7.7109375" style="1" customWidth="1"/>
    <col min="12546" max="12546" width="10.5703125" style="1" customWidth="1"/>
    <col min="12547" max="12547" width="11.140625" style="1" bestFit="1" customWidth="1"/>
    <col min="12548" max="12548" width="22.140625" style="1" bestFit="1" customWidth="1"/>
    <col min="12549" max="12549" width="12.28515625" style="1" customWidth="1"/>
    <col min="12550" max="12550" width="12.5703125" style="1" customWidth="1"/>
    <col min="12551" max="12551" width="12.140625" style="1" customWidth="1"/>
    <col min="12552" max="12552" width="19.7109375" style="1" customWidth="1"/>
    <col min="12553" max="12800" width="9.140625" style="1"/>
    <col min="12801" max="12801" width="7.7109375" style="1" customWidth="1"/>
    <col min="12802" max="12802" width="10.5703125" style="1" customWidth="1"/>
    <col min="12803" max="12803" width="11.140625" style="1" bestFit="1" customWidth="1"/>
    <col min="12804" max="12804" width="22.140625" style="1" bestFit="1" customWidth="1"/>
    <col min="12805" max="12805" width="12.28515625" style="1" customWidth="1"/>
    <col min="12806" max="12806" width="12.5703125" style="1" customWidth="1"/>
    <col min="12807" max="12807" width="12.140625" style="1" customWidth="1"/>
    <col min="12808" max="12808" width="19.7109375" style="1" customWidth="1"/>
    <col min="12809" max="13056" width="9.140625" style="1"/>
    <col min="13057" max="13057" width="7.7109375" style="1" customWidth="1"/>
    <col min="13058" max="13058" width="10.5703125" style="1" customWidth="1"/>
    <col min="13059" max="13059" width="11.140625" style="1" bestFit="1" customWidth="1"/>
    <col min="13060" max="13060" width="22.140625" style="1" bestFit="1" customWidth="1"/>
    <col min="13061" max="13061" width="12.28515625" style="1" customWidth="1"/>
    <col min="13062" max="13062" width="12.5703125" style="1" customWidth="1"/>
    <col min="13063" max="13063" width="12.140625" style="1" customWidth="1"/>
    <col min="13064" max="13064" width="19.7109375" style="1" customWidth="1"/>
    <col min="13065" max="13312" width="9.140625" style="1"/>
    <col min="13313" max="13313" width="7.7109375" style="1" customWidth="1"/>
    <col min="13314" max="13314" width="10.5703125" style="1" customWidth="1"/>
    <col min="13315" max="13315" width="11.140625" style="1" bestFit="1" customWidth="1"/>
    <col min="13316" max="13316" width="22.140625" style="1" bestFit="1" customWidth="1"/>
    <col min="13317" max="13317" width="12.28515625" style="1" customWidth="1"/>
    <col min="13318" max="13318" width="12.5703125" style="1" customWidth="1"/>
    <col min="13319" max="13319" width="12.140625" style="1" customWidth="1"/>
    <col min="13320" max="13320" width="19.7109375" style="1" customWidth="1"/>
    <col min="13321" max="13568" width="9.140625" style="1"/>
    <col min="13569" max="13569" width="7.7109375" style="1" customWidth="1"/>
    <col min="13570" max="13570" width="10.5703125" style="1" customWidth="1"/>
    <col min="13571" max="13571" width="11.140625" style="1" bestFit="1" customWidth="1"/>
    <col min="13572" max="13572" width="22.140625" style="1" bestFit="1" customWidth="1"/>
    <col min="13573" max="13573" width="12.28515625" style="1" customWidth="1"/>
    <col min="13574" max="13574" width="12.5703125" style="1" customWidth="1"/>
    <col min="13575" max="13575" width="12.140625" style="1" customWidth="1"/>
    <col min="13576" max="13576" width="19.7109375" style="1" customWidth="1"/>
    <col min="13577" max="13824" width="9.140625" style="1"/>
    <col min="13825" max="13825" width="7.7109375" style="1" customWidth="1"/>
    <col min="13826" max="13826" width="10.5703125" style="1" customWidth="1"/>
    <col min="13827" max="13827" width="11.140625" style="1" bestFit="1" customWidth="1"/>
    <col min="13828" max="13828" width="22.140625" style="1" bestFit="1" customWidth="1"/>
    <col min="13829" max="13829" width="12.28515625" style="1" customWidth="1"/>
    <col min="13830" max="13830" width="12.5703125" style="1" customWidth="1"/>
    <col min="13831" max="13831" width="12.140625" style="1" customWidth="1"/>
    <col min="13832" max="13832" width="19.7109375" style="1" customWidth="1"/>
    <col min="13833" max="14080" width="9.140625" style="1"/>
    <col min="14081" max="14081" width="7.7109375" style="1" customWidth="1"/>
    <col min="14082" max="14082" width="10.5703125" style="1" customWidth="1"/>
    <col min="14083" max="14083" width="11.140625" style="1" bestFit="1" customWidth="1"/>
    <col min="14084" max="14084" width="22.140625" style="1" bestFit="1" customWidth="1"/>
    <col min="14085" max="14085" width="12.28515625" style="1" customWidth="1"/>
    <col min="14086" max="14086" width="12.5703125" style="1" customWidth="1"/>
    <col min="14087" max="14087" width="12.140625" style="1" customWidth="1"/>
    <col min="14088" max="14088" width="19.7109375" style="1" customWidth="1"/>
    <col min="14089" max="14336" width="9.140625" style="1"/>
    <col min="14337" max="14337" width="7.7109375" style="1" customWidth="1"/>
    <col min="14338" max="14338" width="10.5703125" style="1" customWidth="1"/>
    <col min="14339" max="14339" width="11.140625" style="1" bestFit="1" customWidth="1"/>
    <col min="14340" max="14340" width="22.140625" style="1" bestFit="1" customWidth="1"/>
    <col min="14341" max="14341" width="12.28515625" style="1" customWidth="1"/>
    <col min="14342" max="14342" width="12.5703125" style="1" customWidth="1"/>
    <col min="14343" max="14343" width="12.140625" style="1" customWidth="1"/>
    <col min="14344" max="14344" width="19.7109375" style="1" customWidth="1"/>
    <col min="14345" max="14592" width="9.140625" style="1"/>
    <col min="14593" max="14593" width="7.7109375" style="1" customWidth="1"/>
    <col min="14594" max="14594" width="10.5703125" style="1" customWidth="1"/>
    <col min="14595" max="14595" width="11.140625" style="1" bestFit="1" customWidth="1"/>
    <col min="14596" max="14596" width="22.140625" style="1" bestFit="1" customWidth="1"/>
    <col min="14597" max="14597" width="12.28515625" style="1" customWidth="1"/>
    <col min="14598" max="14598" width="12.5703125" style="1" customWidth="1"/>
    <col min="14599" max="14599" width="12.140625" style="1" customWidth="1"/>
    <col min="14600" max="14600" width="19.7109375" style="1" customWidth="1"/>
    <col min="14601" max="14848" width="9.140625" style="1"/>
    <col min="14849" max="14849" width="7.7109375" style="1" customWidth="1"/>
    <col min="14850" max="14850" width="10.5703125" style="1" customWidth="1"/>
    <col min="14851" max="14851" width="11.140625" style="1" bestFit="1" customWidth="1"/>
    <col min="14852" max="14852" width="22.140625" style="1" bestFit="1" customWidth="1"/>
    <col min="14853" max="14853" width="12.28515625" style="1" customWidth="1"/>
    <col min="14854" max="14854" width="12.5703125" style="1" customWidth="1"/>
    <col min="14855" max="14855" width="12.140625" style="1" customWidth="1"/>
    <col min="14856" max="14856" width="19.7109375" style="1" customWidth="1"/>
    <col min="14857" max="15104" width="9.140625" style="1"/>
    <col min="15105" max="15105" width="7.7109375" style="1" customWidth="1"/>
    <col min="15106" max="15106" width="10.5703125" style="1" customWidth="1"/>
    <col min="15107" max="15107" width="11.140625" style="1" bestFit="1" customWidth="1"/>
    <col min="15108" max="15108" width="22.140625" style="1" bestFit="1" customWidth="1"/>
    <col min="15109" max="15109" width="12.28515625" style="1" customWidth="1"/>
    <col min="15110" max="15110" width="12.5703125" style="1" customWidth="1"/>
    <col min="15111" max="15111" width="12.140625" style="1" customWidth="1"/>
    <col min="15112" max="15112" width="19.7109375" style="1" customWidth="1"/>
    <col min="15113" max="15360" width="9.140625" style="1"/>
    <col min="15361" max="15361" width="7.7109375" style="1" customWidth="1"/>
    <col min="15362" max="15362" width="10.5703125" style="1" customWidth="1"/>
    <col min="15363" max="15363" width="11.140625" style="1" bestFit="1" customWidth="1"/>
    <col min="15364" max="15364" width="22.140625" style="1" bestFit="1" customWidth="1"/>
    <col min="15365" max="15365" width="12.28515625" style="1" customWidth="1"/>
    <col min="15366" max="15366" width="12.5703125" style="1" customWidth="1"/>
    <col min="15367" max="15367" width="12.140625" style="1" customWidth="1"/>
    <col min="15368" max="15368" width="19.7109375" style="1" customWidth="1"/>
    <col min="15369" max="15616" width="9.140625" style="1"/>
    <col min="15617" max="15617" width="7.7109375" style="1" customWidth="1"/>
    <col min="15618" max="15618" width="10.5703125" style="1" customWidth="1"/>
    <col min="15619" max="15619" width="11.140625" style="1" bestFit="1" customWidth="1"/>
    <col min="15620" max="15620" width="22.140625" style="1" bestFit="1" customWidth="1"/>
    <col min="15621" max="15621" width="12.28515625" style="1" customWidth="1"/>
    <col min="15622" max="15622" width="12.5703125" style="1" customWidth="1"/>
    <col min="15623" max="15623" width="12.140625" style="1" customWidth="1"/>
    <col min="15624" max="15624" width="19.7109375" style="1" customWidth="1"/>
    <col min="15625" max="15872" width="9.140625" style="1"/>
    <col min="15873" max="15873" width="7.7109375" style="1" customWidth="1"/>
    <col min="15874" max="15874" width="10.5703125" style="1" customWidth="1"/>
    <col min="15875" max="15875" width="11.140625" style="1" bestFit="1" customWidth="1"/>
    <col min="15876" max="15876" width="22.140625" style="1" bestFit="1" customWidth="1"/>
    <col min="15877" max="15877" width="12.28515625" style="1" customWidth="1"/>
    <col min="15878" max="15878" width="12.5703125" style="1" customWidth="1"/>
    <col min="15879" max="15879" width="12.140625" style="1" customWidth="1"/>
    <col min="15880" max="15880" width="19.7109375" style="1" customWidth="1"/>
    <col min="15881" max="16128" width="9.140625" style="1"/>
    <col min="16129" max="16129" width="7.7109375" style="1" customWidth="1"/>
    <col min="16130" max="16130" width="10.5703125" style="1" customWidth="1"/>
    <col min="16131" max="16131" width="11.140625" style="1" bestFit="1" customWidth="1"/>
    <col min="16132" max="16132" width="22.140625" style="1" bestFit="1" customWidth="1"/>
    <col min="16133" max="16133" width="12.28515625" style="1" customWidth="1"/>
    <col min="16134" max="16134" width="12.5703125" style="1" customWidth="1"/>
    <col min="16135" max="16135" width="12.140625" style="1" customWidth="1"/>
    <col min="16136" max="16136" width="19.7109375" style="1" customWidth="1"/>
    <col min="16137" max="16384" width="9.140625" style="1"/>
  </cols>
  <sheetData>
    <row r="1" spans="1:10" ht="54" customHeight="1">
      <c r="A1" s="1757"/>
      <c r="B1" s="1757"/>
      <c r="C1" s="11"/>
      <c r="D1" s="11"/>
      <c r="E1" s="11"/>
      <c r="F1" s="11"/>
      <c r="G1" s="919" t="s">
        <v>1071</v>
      </c>
    </row>
    <row r="3" spans="1:10" ht="46.5" customHeight="1">
      <c r="A3" s="1661" t="s">
        <v>1035</v>
      </c>
      <c r="B3" s="1661"/>
      <c r="C3" s="1661"/>
      <c r="D3" s="1661"/>
      <c r="E3" s="1661"/>
      <c r="F3" s="1661"/>
      <c r="G3" s="1661"/>
    </row>
    <row r="4" spans="1:10" ht="15">
      <c r="A4" s="918"/>
      <c r="B4" s="918"/>
      <c r="C4" s="918"/>
      <c r="D4" s="918"/>
      <c r="E4" s="918"/>
      <c r="F4" s="918"/>
      <c r="G4" s="9" t="s">
        <v>45</v>
      </c>
    </row>
    <row r="5" spans="1:10" s="1029" customFormat="1" ht="20.100000000000001" customHeight="1" thickBot="1">
      <c r="A5" s="1743" t="s">
        <v>49</v>
      </c>
      <c r="B5" s="1743"/>
      <c r="C5" s="1743"/>
      <c r="D5" s="1743"/>
      <c r="E5" s="1743"/>
      <c r="F5" s="1743"/>
      <c r="G5" s="1743"/>
      <c r="H5" s="1080"/>
      <c r="I5" s="1042"/>
      <c r="J5" s="1042"/>
    </row>
    <row r="6" spans="1:10" s="6" customFormat="1" ht="20.100000000000001" customHeight="1">
      <c r="A6" s="1744" t="s">
        <v>0</v>
      </c>
      <c r="B6" s="1746" t="s">
        <v>1</v>
      </c>
      <c r="C6" s="1746" t="s">
        <v>8</v>
      </c>
      <c r="D6" s="1748" t="s">
        <v>1026</v>
      </c>
      <c r="E6" s="1746" t="s">
        <v>2</v>
      </c>
      <c r="F6" s="1746"/>
      <c r="G6" s="1750" t="s">
        <v>47</v>
      </c>
      <c r="H6" s="1089"/>
      <c r="I6" s="1050"/>
      <c r="J6" s="1050"/>
    </row>
    <row r="7" spans="1:10" s="6" customFormat="1" ht="20.100000000000001" customHeight="1">
      <c r="A7" s="1745"/>
      <c r="B7" s="1747"/>
      <c r="C7" s="1747"/>
      <c r="D7" s="1749"/>
      <c r="E7" s="1030" t="s">
        <v>44</v>
      </c>
      <c r="F7" s="1030" t="s">
        <v>43</v>
      </c>
      <c r="G7" s="1751"/>
      <c r="H7" s="1089"/>
      <c r="I7" s="1050"/>
      <c r="J7" s="1050"/>
    </row>
    <row r="8" spans="1:10" s="1047" customFormat="1" ht="45" customHeight="1">
      <c r="A8" s="1735">
        <v>852</v>
      </c>
      <c r="B8" s="1739">
        <v>85295</v>
      </c>
      <c r="C8" s="1032">
        <v>2007</v>
      </c>
      <c r="D8" s="1033">
        <f>SUM(E8:F8)</f>
        <v>156146</v>
      </c>
      <c r="E8" s="1074">
        <v>156146</v>
      </c>
      <c r="F8" s="1033">
        <v>0</v>
      </c>
      <c r="G8" s="1756" t="s">
        <v>1036</v>
      </c>
      <c r="H8" s="1089"/>
      <c r="I8" s="1045"/>
      <c r="J8" s="1045"/>
    </row>
    <row r="9" spans="1:10" s="310" customFormat="1" ht="45" customHeight="1">
      <c r="A9" s="1735"/>
      <c r="B9" s="1739"/>
      <c r="C9" s="1032">
        <v>6207</v>
      </c>
      <c r="D9" s="1033">
        <f>SUM(E9:F9)</f>
        <v>2583555</v>
      </c>
      <c r="E9" s="1033">
        <v>0</v>
      </c>
      <c r="F9" s="1074">
        <v>2583555</v>
      </c>
      <c r="G9" s="1756"/>
      <c r="H9" s="1078"/>
      <c r="I9" s="1035"/>
      <c r="J9" s="1035"/>
    </row>
    <row r="10" spans="1:10" ht="20.100000000000001" customHeight="1" thickBot="1">
      <c r="A10" s="1740" t="s">
        <v>46</v>
      </c>
      <c r="B10" s="1741"/>
      <c r="C10" s="1741"/>
      <c r="D10" s="1048">
        <f>SUM(D8:D9)</f>
        <v>2739701</v>
      </c>
      <c r="E10" s="1048">
        <f>SUM(E8:E9)</f>
        <v>156146</v>
      </c>
      <c r="F10" s="1048">
        <f>SUM(F8:F9)</f>
        <v>2583555</v>
      </c>
      <c r="G10" s="1049"/>
    </row>
    <row r="11" spans="1:10" s="930" customFormat="1" ht="20.100000000000001" customHeight="1">
      <c r="A11" s="1771"/>
      <c r="B11" s="1771"/>
      <c r="C11" s="1771"/>
      <c r="D11" s="1771"/>
      <c r="E11" s="1771"/>
      <c r="F11" s="1771"/>
      <c r="G11" s="1771"/>
    </row>
    <row r="12" spans="1:10" s="1061" customFormat="1" ht="20.100000000000001" customHeight="1" thickBot="1">
      <c r="A12" s="1743" t="s">
        <v>48</v>
      </c>
      <c r="B12" s="1743"/>
      <c r="C12" s="1743"/>
      <c r="D12" s="1743"/>
      <c r="E12" s="1743"/>
      <c r="F12" s="1743"/>
      <c r="G12" s="1743"/>
    </row>
    <row r="13" spans="1:10" ht="20.100000000000001" customHeight="1">
      <c r="A13" s="1744" t="s">
        <v>0</v>
      </c>
      <c r="B13" s="1746" t="s">
        <v>1</v>
      </c>
      <c r="C13" s="1746" t="s">
        <v>8</v>
      </c>
      <c r="D13" s="1748" t="s">
        <v>1026</v>
      </c>
      <c r="E13" s="1746" t="s">
        <v>2</v>
      </c>
      <c r="F13" s="1746"/>
      <c r="G13" s="1750" t="s">
        <v>47</v>
      </c>
    </row>
    <row r="14" spans="1:10" ht="20.100000000000001" customHeight="1">
      <c r="A14" s="1745"/>
      <c r="B14" s="1747"/>
      <c r="C14" s="1747"/>
      <c r="D14" s="1749"/>
      <c r="E14" s="1030" t="s">
        <v>44</v>
      </c>
      <c r="F14" s="1030" t="s">
        <v>43</v>
      </c>
      <c r="G14" s="1751"/>
    </row>
    <row r="15" spans="1:10" s="1061" customFormat="1" ht="45" customHeight="1">
      <c r="A15" s="1735">
        <v>852</v>
      </c>
      <c r="B15" s="1739">
        <v>85295</v>
      </c>
      <c r="C15" s="1032">
        <v>2007</v>
      </c>
      <c r="D15" s="1033">
        <f>SUM(E15:F15)</f>
        <v>127424</v>
      </c>
      <c r="E15" s="1074">
        <v>127424</v>
      </c>
      <c r="F15" s="1033">
        <v>0</v>
      </c>
      <c r="G15" s="1756" t="s">
        <v>1036</v>
      </c>
    </row>
    <row r="16" spans="1:10" s="310" customFormat="1" ht="45" customHeight="1">
      <c r="A16" s="1735"/>
      <c r="B16" s="1739"/>
      <c r="C16" s="1032">
        <v>6207</v>
      </c>
      <c r="D16" s="1033">
        <f>SUM(E16:F16)</f>
        <v>522846</v>
      </c>
      <c r="E16" s="1033">
        <v>0</v>
      </c>
      <c r="F16" s="1074">
        <v>522846</v>
      </c>
      <c r="G16" s="1756"/>
    </row>
    <row r="17" spans="1:7" ht="20.100000000000001" customHeight="1" thickBot="1">
      <c r="A17" s="1740" t="s">
        <v>46</v>
      </c>
      <c r="B17" s="1741"/>
      <c r="C17" s="1741"/>
      <c r="D17" s="1048">
        <f>SUM(D15:D16)</f>
        <v>650270</v>
      </c>
      <c r="E17" s="1048">
        <f>SUM(E15:E16)</f>
        <v>127424</v>
      </c>
      <c r="F17" s="1048">
        <f>SUM(F15:F16)</f>
        <v>522846</v>
      </c>
      <c r="G17" s="1049"/>
    </row>
    <row r="19" spans="1:7">
      <c r="D19" s="2"/>
      <c r="E19" s="2"/>
      <c r="F19" s="2"/>
    </row>
    <row r="20" spans="1:7">
      <c r="D20" s="2"/>
    </row>
  </sheetData>
  <mergeCells count="25">
    <mergeCell ref="A12:G12"/>
    <mergeCell ref="A1:B1"/>
    <mergeCell ref="A3:G3"/>
    <mergeCell ref="A5:G5"/>
    <mergeCell ref="A6:A7"/>
    <mergeCell ref="B6:B7"/>
    <mergeCell ref="C6:C7"/>
    <mergeCell ref="D6:D7"/>
    <mergeCell ref="E6:F6"/>
    <mergeCell ref="G6:G7"/>
    <mergeCell ref="A8:A9"/>
    <mergeCell ref="B8:B9"/>
    <mergeCell ref="G8:G9"/>
    <mergeCell ref="A10:C10"/>
    <mergeCell ref="A11:G11"/>
    <mergeCell ref="A15:A16"/>
    <mergeCell ref="B15:B16"/>
    <mergeCell ref="G15:G16"/>
    <mergeCell ref="A17:C17"/>
    <mergeCell ref="A13:A14"/>
    <mergeCell ref="B13:B14"/>
    <mergeCell ref="C13:C14"/>
    <mergeCell ref="D13:D14"/>
    <mergeCell ref="E13:F13"/>
    <mergeCell ref="G13:G14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90" orientation="landscape" r:id="rId1"/>
  <headerFooter alignWithMargins="0">
    <oddFooter>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H279"/>
  <sheetViews>
    <sheetView view="pageBreakPreview" zoomScaleNormal="100" zoomScaleSheetLayoutView="100" workbookViewId="0">
      <selection activeCell="H5" sqref="H5"/>
    </sheetView>
  </sheetViews>
  <sheetFormatPr defaultRowHeight="12.75"/>
  <cols>
    <col min="1" max="1" width="6.85546875" style="764" customWidth="1"/>
    <col min="2" max="3" width="8.85546875" style="764" bestFit="1" customWidth="1"/>
    <col min="4" max="4" width="49.5703125" style="764" customWidth="1"/>
    <col min="5" max="5" width="12.85546875" style="764" customWidth="1"/>
    <col min="6" max="6" width="13.140625" style="764" customWidth="1"/>
    <col min="7" max="7" width="9.140625" style="764"/>
    <col min="8" max="8" width="10" style="765" customWidth="1"/>
    <col min="9" max="16384" width="9.140625" style="764"/>
  </cols>
  <sheetData>
    <row r="1" spans="1:8" ht="65.25" customHeight="1">
      <c r="A1" s="134"/>
      <c r="B1" s="134"/>
      <c r="C1" s="763"/>
      <c r="D1" s="1792" t="s">
        <v>1072</v>
      </c>
      <c r="E1" s="1793"/>
    </row>
    <row r="2" spans="1:8" ht="69" customHeight="1">
      <c r="A2" s="1618" t="s">
        <v>866</v>
      </c>
      <c r="B2" s="1618"/>
      <c r="C2" s="1618"/>
      <c r="D2" s="1618"/>
      <c r="E2" s="1618"/>
      <c r="F2" s="766"/>
      <c r="G2" s="766"/>
    </row>
    <row r="3" spans="1:8" s="11" customFormat="1" hidden="1">
      <c r="A3" s="327"/>
      <c r="B3" s="327"/>
      <c r="C3" s="327"/>
      <c r="D3" s="327"/>
      <c r="E3" s="767"/>
      <c r="H3" s="768"/>
    </row>
    <row r="4" spans="1:8" ht="36.75" customHeight="1">
      <c r="A4" s="1794" t="s">
        <v>867</v>
      </c>
      <c r="B4" s="1795"/>
      <c r="C4" s="1795"/>
      <c r="D4" s="1795"/>
      <c r="E4" s="1796"/>
    </row>
    <row r="5" spans="1:8" ht="15.75" customHeight="1" thickBot="1">
      <c r="A5" s="1797" t="s">
        <v>45</v>
      </c>
      <c r="B5" s="1797"/>
      <c r="C5" s="1797"/>
      <c r="D5" s="1797"/>
      <c r="E5" s="1797"/>
    </row>
    <row r="6" spans="1:8" ht="18.75" customHeight="1" thickBot="1">
      <c r="A6" s="769" t="s">
        <v>0</v>
      </c>
      <c r="B6" s="770" t="s">
        <v>1</v>
      </c>
      <c r="C6" s="770" t="s">
        <v>8</v>
      </c>
      <c r="D6" s="770" t="s">
        <v>119</v>
      </c>
      <c r="E6" s="771" t="s">
        <v>131</v>
      </c>
    </row>
    <row r="7" spans="1:8" ht="23.25" customHeight="1">
      <c r="A7" s="1782" t="s">
        <v>5</v>
      </c>
      <c r="B7" s="1798"/>
      <c r="C7" s="1798"/>
      <c r="D7" s="772" t="s">
        <v>695</v>
      </c>
      <c r="E7" s="773">
        <f>SUM(E8,E10,E14,E19)</f>
        <v>21377000</v>
      </c>
      <c r="G7" s="765"/>
    </row>
    <row r="8" spans="1:8">
      <c r="A8" s="1772"/>
      <c r="B8" s="1775" t="s">
        <v>272</v>
      </c>
      <c r="C8" s="1799" t="s">
        <v>868</v>
      </c>
      <c r="D8" s="1799"/>
      <c r="E8" s="774">
        <f>SUM(E9)</f>
        <v>40000</v>
      </c>
    </row>
    <row r="9" spans="1:8">
      <c r="A9" s="1772"/>
      <c r="B9" s="1775"/>
      <c r="C9" s="775" t="s">
        <v>766</v>
      </c>
      <c r="D9" s="776"/>
      <c r="E9" s="777">
        <v>40000</v>
      </c>
    </row>
    <row r="10" spans="1:8">
      <c r="A10" s="1772"/>
      <c r="B10" s="1775" t="s">
        <v>277</v>
      </c>
      <c r="C10" s="1789" t="s">
        <v>278</v>
      </c>
      <c r="D10" s="1789"/>
      <c r="E10" s="774">
        <f>SUM(E11:E13)</f>
        <v>13816000</v>
      </c>
      <c r="G10" s="765"/>
    </row>
    <row r="11" spans="1:8">
      <c r="A11" s="1772"/>
      <c r="B11" s="1775"/>
      <c r="C11" s="778">
        <v>2210</v>
      </c>
      <c r="D11" s="779"/>
      <c r="E11" s="777">
        <v>5000000</v>
      </c>
      <c r="G11" s="765"/>
    </row>
    <row r="12" spans="1:8">
      <c r="A12" s="1772"/>
      <c r="B12" s="1775"/>
      <c r="C12" s="778">
        <v>6510</v>
      </c>
      <c r="D12" s="779"/>
      <c r="E12" s="777">
        <v>6201000</v>
      </c>
    </row>
    <row r="13" spans="1:8">
      <c r="A13" s="1772"/>
      <c r="B13" s="1775"/>
      <c r="C13" s="778">
        <v>6519</v>
      </c>
      <c r="D13" s="779"/>
      <c r="E13" s="777">
        <v>2615000</v>
      </c>
    </row>
    <row r="14" spans="1:8" ht="12.75" customHeight="1">
      <c r="A14" s="1772"/>
      <c r="B14" s="1776" t="s">
        <v>289</v>
      </c>
      <c r="C14" s="1800" t="s">
        <v>869</v>
      </c>
      <c r="D14" s="1801"/>
      <c r="E14" s="774">
        <f>SUM(E15:E18)</f>
        <v>7506000</v>
      </c>
    </row>
    <row r="15" spans="1:8" s="765" customFormat="1">
      <c r="A15" s="1772"/>
      <c r="B15" s="1791"/>
      <c r="C15" s="778">
        <v>2218</v>
      </c>
      <c r="D15" s="780"/>
      <c r="E15" s="777">
        <v>5154000</v>
      </c>
      <c r="F15" s="764"/>
      <c r="G15" s="764"/>
    </row>
    <row r="16" spans="1:8" s="765" customFormat="1">
      <c r="A16" s="1772"/>
      <c r="B16" s="1791"/>
      <c r="C16" s="778">
        <v>2219</v>
      </c>
      <c r="D16" s="780"/>
      <c r="E16" s="777">
        <v>2072000</v>
      </c>
      <c r="F16" s="764"/>
    </row>
    <row r="17" spans="1:7" s="765" customFormat="1">
      <c r="A17" s="1772"/>
      <c r="B17" s="1791"/>
      <c r="C17" s="778">
        <v>6518</v>
      </c>
      <c r="D17" s="780"/>
      <c r="E17" s="777">
        <v>210000</v>
      </c>
      <c r="F17" s="764"/>
      <c r="G17" s="764"/>
    </row>
    <row r="18" spans="1:7" s="765" customFormat="1">
      <c r="A18" s="1772"/>
      <c r="B18" s="1785"/>
      <c r="C18" s="778">
        <v>6519</v>
      </c>
      <c r="D18" s="780"/>
      <c r="E18" s="777">
        <v>70000</v>
      </c>
      <c r="G18" s="764"/>
    </row>
    <row r="19" spans="1:7" s="765" customFormat="1">
      <c r="A19" s="1772"/>
      <c r="B19" s="1775" t="s">
        <v>11</v>
      </c>
      <c r="C19" s="1789" t="s">
        <v>332</v>
      </c>
      <c r="D19" s="1789"/>
      <c r="E19" s="774">
        <f>SUM(E20)</f>
        <v>15000</v>
      </c>
      <c r="F19" s="764"/>
      <c r="G19" s="764"/>
    </row>
    <row r="20" spans="1:7" s="765" customFormat="1">
      <c r="A20" s="1772"/>
      <c r="B20" s="1775"/>
      <c r="C20" s="778">
        <v>2210</v>
      </c>
      <c r="D20" s="780"/>
      <c r="E20" s="777">
        <v>15000</v>
      </c>
      <c r="F20" s="764"/>
      <c r="G20" s="764"/>
    </row>
    <row r="21" spans="1:7" s="765" customFormat="1" ht="23.25" customHeight="1">
      <c r="A21" s="1773" t="s">
        <v>16</v>
      </c>
      <c r="B21" s="1774"/>
      <c r="C21" s="1774"/>
      <c r="D21" s="781" t="s">
        <v>733</v>
      </c>
      <c r="E21" s="782">
        <f>E22+E24</f>
        <v>57472000</v>
      </c>
      <c r="F21" s="764"/>
    </row>
    <row r="22" spans="1:7" s="765" customFormat="1">
      <c r="A22" s="1781"/>
      <c r="B22" s="1775" t="s">
        <v>17</v>
      </c>
      <c r="C22" s="1789" t="s">
        <v>373</v>
      </c>
      <c r="D22" s="1789"/>
      <c r="E22" s="774">
        <f>SUM(E23)</f>
        <v>57400000</v>
      </c>
      <c r="F22" s="764"/>
      <c r="G22" s="764"/>
    </row>
    <row r="23" spans="1:7">
      <c r="A23" s="1781"/>
      <c r="B23" s="1775"/>
      <c r="C23" s="778">
        <v>2210</v>
      </c>
      <c r="D23" s="780"/>
      <c r="E23" s="777">
        <v>57400000</v>
      </c>
    </row>
    <row r="24" spans="1:7">
      <c r="A24" s="1781"/>
      <c r="B24" s="1776" t="s">
        <v>386</v>
      </c>
      <c r="C24" s="1789" t="s">
        <v>332</v>
      </c>
      <c r="D24" s="1789"/>
      <c r="E24" s="774">
        <f>SUM(E25)</f>
        <v>72000</v>
      </c>
    </row>
    <row r="25" spans="1:7">
      <c r="A25" s="1782"/>
      <c r="B25" s="1785"/>
      <c r="C25" s="778">
        <v>2210</v>
      </c>
      <c r="D25" s="780"/>
      <c r="E25" s="777">
        <v>72000</v>
      </c>
    </row>
    <row r="26" spans="1:7" ht="24" customHeight="1">
      <c r="A26" s="1773" t="s">
        <v>401</v>
      </c>
      <c r="B26" s="1790"/>
      <c r="C26" s="1790"/>
      <c r="D26" s="783" t="s">
        <v>763</v>
      </c>
      <c r="E26" s="782">
        <f>SUM(E29,E31,E33,E28)</f>
        <v>423000</v>
      </c>
    </row>
    <row r="27" spans="1:7">
      <c r="A27" s="1781"/>
      <c r="B27" s="1775" t="s">
        <v>407</v>
      </c>
      <c r="C27" s="1789" t="s">
        <v>408</v>
      </c>
      <c r="D27" s="1789"/>
      <c r="E27" s="774">
        <f>SUM(E28)</f>
        <v>5000</v>
      </c>
    </row>
    <row r="28" spans="1:7">
      <c r="A28" s="1781"/>
      <c r="B28" s="1775"/>
      <c r="C28" s="778">
        <v>2210</v>
      </c>
      <c r="D28" s="780"/>
      <c r="E28" s="777">
        <v>5000</v>
      </c>
    </row>
    <row r="29" spans="1:7">
      <c r="A29" s="1781"/>
      <c r="B29" s="1775" t="s">
        <v>409</v>
      </c>
      <c r="C29" s="1789" t="s">
        <v>410</v>
      </c>
      <c r="D29" s="1789"/>
      <c r="E29" s="774">
        <f>SUM(E30)</f>
        <v>226000</v>
      </c>
    </row>
    <row r="30" spans="1:7">
      <c r="A30" s="1781"/>
      <c r="B30" s="1775"/>
      <c r="C30" s="778">
        <v>2210</v>
      </c>
      <c r="D30" s="780"/>
      <c r="E30" s="777">
        <v>226000</v>
      </c>
    </row>
    <row r="31" spans="1:7">
      <c r="A31" s="1781"/>
      <c r="B31" s="1775" t="s">
        <v>413</v>
      </c>
      <c r="C31" s="1789" t="s">
        <v>414</v>
      </c>
      <c r="D31" s="1789"/>
      <c r="E31" s="774">
        <f>SUM(E32)</f>
        <v>87000</v>
      </c>
    </row>
    <row r="32" spans="1:7">
      <c r="A32" s="1781"/>
      <c r="B32" s="1775"/>
      <c r="C32" s="778">
        <v>2210</v>
      </c>
      <c r="D32" s="780"/>
      <c r="E32" s="777">
        <v>87000</v>
      </c>
    </row>
    <row r="33" spans="1:7">
      <c r="A33" s="1781"/>
      <c r="B33" s="1776" t="s">
        <v>415</v>
      </c>
      <c r="C33" s="1789" t="s">
        <v>332</v>
      </c>
      <c r="D33" s="1789"/>
      <c r="E33" s="774">
        <f>SUM(E34:E35)</f>
        <v>105000</v>
      </c>
    </row>
    <row r="34" spans="1:7">
      <c r="A34" s="1781"/>
      <c r="B34" s="1791"/>
      <c r="C34" s="778">
        <v>2210</v>
      </c>
      <c r="D34" s="780"/>
      <c r="E34" s="777">
        <v>100000</v>
      </c>
    </row>
    <row r="35" spans="1:7">
      <c r="A35" s="1782"/>
      <c r="B35" s="1785"/>
      <c r="C35" s="778">
        <v>6510</v>
      </c>
      <c r="D35" s="780"/>
      <c r="E35" s="777">
        <v>5000</v>
      </c>
    </row>
    <row r="36" spans="1:7" ht="24" customHeight="1">
      <c r="A36" s="1772" t="s">
        <v>7</v>
      </c>
      <c r="B36" s="1774"/>
      <c r="C36" s="1774"/>
      <c r="D36" s="781" t="s">
        <v>42</v>
      </c>
      <c r="E36" s="782">
        <f>SUM(E38,E40)</f>
        <v>743000</v>
      </c>
    </row>
    <row r="37" spans="1:7">
      <c r="A37" s="1772"/>
      <c r="B37" s="1775" t="s">
        <v>432</v>
      </c>
      <c r="C37" s="1789" t="s">
        <v>433</v>
      </c>
      <c r="D37" s="1789"/>
      <c r="E37" s="774">
        <f>SUM(E38)</f>
        <v>723000</v>
      </c>
    </row>
    <row r="38" spans="1:7">
      <c r="A38" s="1772"/>
      <c r="B38" s="1775"/>
      <c r="C38" s="778">
        <v>2210</v>
      </c>
      <c r="D38" s="780"/>
      <c r="E38" s="777">
        <v>723000</v>
      </c>
    </row>
    <row r="39" spans="1:7">
      <c r="A39" s="1772"/>
      <c r="B39" s="1776" t="s">
        <v>456</v>
      </c>
      <c r="C39" s="1789" t="s">
        <v>457</v>
      </c>
      <c r="D39" s="1789"/>
      <c r="E39" s="774">
        <f>SUM(E40)</f>
        <v>20000</v>
      </c>
    </row>
    <row r="40" spans="1:7">
      <c r="A40" s="1772"/>
      <c r="B40" s="1785"/>
      <c r="C40" s="778">
        <v>2210</v>
      </c>
      <c r="D40" s="780"/>
      <c r="E40" s="777">
        <v>20000</v>
      </c>
    </row>
    <row r="41" spans="1:7" ht="24" customHeight="1">
      <c r="A41" s="1773" t="s">
        <v>470</v>
      </c>
      <c r="B41" s="1774"/>
      <c r="C41" s="1774"/>
      <c r="D41" s="781" t="s">
        <v>783</v>
      </c>
      <c r="E41" s="782">
        <f>SUM(E42)</f>
        <v>3000</v>
      </c>
    </row>
    <row r="42" spans="1:7">
      <c r="A42" s="1781"/>
      <c r="B42" s="1776" t="s">
        <v>472</v>
      </c>
      <c r="C42" s="1789" t="s">
        <v>473</v>
      </c>
      <c r="D42" s="1789"/>
      <c r="E42" s="774">
        <f>SUM(E43)</f>
        <v>3000</v>
      </c>
      <c r="F42" s="765"/>
    </row>
    <row r="43" spans="1:7">
      <c r="A43" s="1782"/>
      <c r="B43" s="1785"/>
      <c r="C43" s="778">
        <v>2210</v>
      </c>
      <c r="D43" s="780"/>
      <c r="E43" s="777">
        <v>3000</v>
      </c>
    </row>
    <row r="44" spans="1:7" ht="24" customHeight="1">
      <c r="A44" s="1772" t="s">
        <v>25</v>
      </c>
      <c r="B44" s="1790"/>
      <c r="C44" s="1790"/>
      <c r="D44" s="783" t="s">
        <v>870</v>
      </c>
      <c r="E44" s="782">
        <f>SUM(E45)</f>
        <v>40000</v>
      </c>
      <c r="F44" s="765"/>
    </row>
    <row r="45" spans="1:7" s="765" customFormat="1" ht="33" customHeight="1">
      <c r="A45" s="1772"/>
      <c r="B45" s="1775" t="s">
        <v>571</v>
      </c>
      <c r="C45" s="1786" t="s">
        <v>871</v>
      </c>
      <c r="D45" s="1789"/>
      <c r="E45" s="774">
        <f>SUM(E46)</f>
        <v>40000</v>
      </c>
      <c r="F45" s="764"/>
      <c r="G45" s="764"/>
    </row>
    <row r="46" spans="1:7" s="765" customFormat="1">
      <c r="A46" s="1772"/>
      <c r="B46" s="1775"/>
      <c r="C46" s="778">
        <v>2210</v>
      </c>
      <c r="D46" s="780"/>
      <c r="E46" s="777">
        <v>40000</v>
      </c>
      <c r="F46" s="764"/>
      <c r="G46" s="764"/>
    </row>
    <row r="47" spans="1:7" s="765" customFormat="1" ht="24" customHeight="1">
      <c r="A47" s="1773" t="s">
        <v>26</v>
      </c>
      <c r="B47" s="1783"/>
      <c r="C47" s="1784"/>
      <c r="D47" s="781" t="s">
        <v>821</v>
      </c>
      <c r="E47" s="782">
        <f>SUM(E48,E50)</f>
        <v>2339000</v>
      </c>
      <c r="G47" s="764"/>
    </row>
    <row r="48" spans="1:7" s="765" customFormat="1" ht="45.75" customHeight="1">
      <c r="A48" s="1781"/>
      <c r="B48" s="1776" t="s">
        <v>579</v>
      </c>
      <c r="C48" s="1786" t="s">
        <v>822</v>
      </c>
      <c r="D48" s="1786"/>
      <c r="E48" s="774">
        <f>SUM(E49)</f>
        <v>1639000</v>
      </c>
      <c r="F48" s="764"/>
    </row>
    <row r="49" spans="1:7" s="765" customFormat="1">
      <c r="A49" s="1781"/>
      <c r="B49" s="1785"/>
      <c r="C49" s="778">
        <v>2210</v>
      </c>
      <c r="D49" s="780"/>
      <c r="E49" s="777">
        <v>1639000</v>
      </c>
      <c r="F49" s="764"/>
      <c r="G49" s="764"/>
    </row>
    <row r="50" spans="1:7" s="765" customFormat="1" ht="25.5" customHeight="1">
      <c r="A50" s="1781"/>
      <c r="B50" s="1776" t="s">
        <v>588</v>
      </c>
      <c r="C50" s="1787" t="s">
        <v>910</v>
      </c>
      <c r="D50" s="1788"/>
      <c r="E50" s="774">
        <f>SUM(E51)</f>
        <v>700000</v>
      </c>
      <c r="F50" s="764"/>
      <c r="G50" s="764"/>
    </row>
    <row r="51" spans="1:7" s="765" customFormat="1">
      <c r="A51" s="1782"/>
      <c r="B51" s="1785"/>
      <c r="C51" s="778">
        <v>2210</v>
      </c>
      <c r="D51" s="780"/>
      <c r="E51" s="777">
        <v>700000</v>
      </c>
      <c r="F51" s="764"/>
      <c r="G51" s="764"/>
    </row>
    <row r="52" spans="1:7" s="765" customFormat="1" ht="27" customHeight="1">
      <c r="A52" s="1772" t="s">
        <v>27</v>
      </c>
      <c r="B52" s="1774"/>
      <c r="C52" s="1774"/>
      <c r="D52" s="784" t="s">
        <v>826</v>
      </c>
      <c r="E52" s="782">
        <f>SUM(E53)</f>
        <v>5000</v>
      </c>
      <c r="F52" s="764"/>
      <c r="G52" s="764"/>
    </row>
    <row r="53" spans="1:7" s="765" customFormat="1">
      <c r="A53" s="1772"/>
      <c r="B53" s="1775" t="s">
        <v>612</v>
      </c>
      <c r="C53" s="1777" t="s">
        <v>613</v>
      </c>
      <c r="D53" s="1777"/>
      <c r="E53" s="774">
        <f>SUM(E54)</f>
        <v>5000</v>
      </c>
      <c r="F53" s="764"/>
      <c r="G53" s="764"/>
    </row>
    <row r="54" spans="1:7" s="765" customFormat="1" ht="13.5" thickBot="1">
      <c r="A54" s="1773"/>
      <c r="B54" s="1776"/>
      <c r="C54" s="785">
        <v>2210</v>
      </c>
      <c r="D54" s="786"/>
      <c r="E54" s="787">
        <v>5000</v>
      </c>
      <c r="F54" s="764"/>
      <c r="G54" s="764"/>
    </row>
    <row r="55" spans="1:7" s="765" customFormat="1" ht="30" customHeight="1" thickBot="1">
      <c r="A55" s="1778" t="s">
        <v>40</v>
      </c>
      <c r="B55" s="1779"/>
      <c r="C55" s="1779"/>
      <c r="D55" s="1780"/>
      <c r="E55" s="788">
        <f>SUM(E52,E47,E44,E41,E36,E26,E21,E7)</f>
        <v>82402000</v>
      </c>
      <c r="F55" s="764"/>
    </row>
    <row r="56" spans="1:7" s="765" customFormat="1">
      <c r="A56" s="88"/>
      <c r="B56" s="88"/>
      <c r="C56" s="11"/>
      <c r="D56" s="11"/>
      <c r="E56" s="92"/>
      <c r="F56" s="764"/>
      <c r="G56" s="764"/>
    </row>
    <row r="57" spans="1:7" s="765" customFormat="1">
      <c r="A57" s="88"/>
      <c r="B57" s="88"/>
      <c r="C57" s="11"/>
      <c r="D57" s="11"/>
      <c r="E57" s="92"/>
      <c r="F57" s="764"/>
      <c r="G57" s="764"/>
    </row>
    <row r="58" spans="1:7" s="765" customFormat="1">
      <c r="A58" s="88"/>
      <c r="B58" s="88"/>
      <c r="C58" s="11"/>
      <c r="D58" s="11"/>
      <c r="E58" s="92"/>
      <c r="F58" s="764"/>
      <c r="G58" s="764"/>
    </row>
    <row r="59" spans="1:7" s="765" customFormat="1" ht="12.75" customHeight="1">
      <c r="A59" s="88"/>
      <c r="B59" s="88"/>
      <c r="C59" s="11"/>
      <c r="D59" s="11"/>
      <c r="E59" s="92"/>
      <c r="F59" s="764"/>
      <c r="G59" s="764"/>
    </row>
    <row r="60" spans="1:7" s="765" customFormat="1">
      <c r="A60" s="88"/>
      <c r="B60" s="88"/>
      <c r="C60" s="11"/>
      <c r="D60" s="11"/>
      <c r="E60" s="92"/>
      <c r="F60" s="764"/>
      <c r="G60" s="764"/>
    </row>
    <row r="61" spans="1:7" s="765" customFormat="1">
      <c r="A61" s="88"/>
      <c r="B61" s="88"/>
      <c r="C61" s="11"/>
      <c r="D61" s="11"/>
      <c r="E61" s="92"/>
      <c r="F61" s="764"/>
      <c r="G61" s="764"/>
    </row>
    <row r="62" spans="1:7" s="765" customFormat="1">
      <c r="A62" s="88"/>
      <c r="B62" s="88"/>
      <c r="C62" s="11"/>
      <c r="D62" s="11"/>
      <c r="E62" s="92"/>
      <c r="F62" s="764"/>
      <c r="G62" s="764"/>
    </row>
    <row r="63" spans="1:7" s="765" customFormat="1">
      <c r="A63" s="88"/>
      <c r="B63" s="88"/>
      <c r="C63" s="11"/>
      <c r="D63" s="11"/>
      <c r="E63" s="92"/>
      <c r="F63" s="764"/>
      <c r="G63" s="764"/>
    </row>
    <row r="64" spans="1:7" s="765" customFormat="1">
      <c r="A64" s="88"/>
      <c r="B64" s="88"/>
      <c r="C64" s="11"/>
      <c r="D64" s="11"/>
      <c r="E64" s="92"/>
      <c r="F64" s="764"/>
      <c r="G64" s="764"/>
    </row>
    <row r="65" spans="1:7" s="765" customFormat="1">
      <c r="A65" s="88"/>
      <c r="B65" s="88"/>
      <c r="C65" s="11"/>
      <c r="D65" s="11"/>
      <c r="E65" s="92"/>
      <c r="F65" s="764"/>
      <c r="G65" s="764"/>
    </row>
    <row r="66" spans="1:7" s="765" customFormat="1">
      <c r="A66" s="88"/>
      <c r="B66" s="88"/>
      <c r="C66" s="11"/>
      <c r="D66" s="11"/>
      <c r="E66" s="92"/>
      <c r="F66" s="764"/>
      <c r="G66" s="764"/>
    </row>
    <row r="67" spans="1:7" s="765" customFormat="1">
      <c r="A67" s="11"/>
      <c r="B67" s="88"/>
      <c r="C67" s="11"/>
      <c r="D67" s="11"/>
      <c r="E67" s="92"/>
      <c r="F67" s="764"/>
      <c r="G67" s="764"/>
    </row>
    <row r="68" spans="1:7">
      <c r="A68" s="11"/>
      <c r="B68" s="88"/>
      <c r="C68" s="11"/>
      <c r="D68" s="11"/>
      <c r="E68" s="92"/>
    </row>
    <row r="69" spans="1:7">
      <c r="A69" s="11"/>
      <c r="B69" s="88"/>
      <c r="C69" s="11"/>
      <c r="D69" s="11"/>
      <c r="E69" s="92"/>
    </row>
    <row r="70" spans="1:7">
      <c r="A70" s="11"/>
      <c r="B70" s="88"/>
      <c r="C70" s="11"/>
      <c r="D70" s="11"/>
      <c r="E70" s="92"/>
    </row>
    <row r="71" spans="1:7">
      <c r="A71" s="11"/>
      <c r="B71" s="88"/>
      <c r="C71" s="11"/>
      <c r="D71" s="11"/>
      <c r="E71" s="92"/>
    </row>
    <row r="72" spans="1:7">
      <c r="A72" s="11"/>
      <c r="B72" s="88"/>
      <c r="C72" s="11"/>
      <c r="D72" s="11"/>
      <c r="E72" s="92"/>
    </row>
    <row r="73" spans="1:7">
      <c r="A73" s="11"/>
      <c r="B73" s="88"/>
      <c r="C73" s="11"/>
      <c r="D73" s="11"/>
      <c r="E73" s="92"/>
    </row>
    <row r="74" spans="1:7">
      <c r="A74" s="11"/>
      <c r="B74" s="88"/>
      <c r="C74" s="11"/>
      <c r="D74" s="11"/>
      <c r="E74" s="92"/>
    </row>
    <row r="75" spans="1:7">
      <c r="A75" s="11"/>
      <c r="B75" s="88"/>
      <c r="C75" s="11"/>
      <c r="D75" s="11"/>
      <c r="E75" s="92"/>
    </row>
    <row r="76" spans="1:7">
      <c r="A76" s="11"/>
      <c r="B76" s="88"/>
      <c r="C76" s="11"/>
      <c r="D76" s="11"/>
      <c r="E76" s="92"/>
    </row>
    <row r="77" spans="1:7">
      <c r="A77" s="11"/>
      <c r="B77" s="88"/>
      <c r="C77" s="11"/>
      <c r="D77" s="11"/>
      <c r="E77" s="92"/>
    </row>
    <row r="78" spans="1:7">
      <c r="A78" s="11"/>
      <c r="B78" s="88"/>
      <c r="C78" s="11"/>
      <c r="D78" s="11"/>
      <c r="E78" s="92"/>
    </row>
    <row r="79" spans="1:7">
      <c r="A79" s="11"/>
      <c r="B79" s="88"/>
      <c r="C79" s="11"/>
      <c r="D79" s="11"/>
      <c r="E79" s="92"/>
    </row>
    <row r="80" spans="1:7">
      <c r="A80" s="11"/>
      <c r="B80" s="88"/>
      <c r="C80" s="11"/>
      <c r="D80" s="11"/>
      <c r="E80" s="92"/>
    </row>
    <row r="81" spans="2:5">
      <c r="B81" s="88"/>
      <c r="C81" s="11"/>
      <c r="D81" s="11"/>
      <c r="E81" s="92"/>
    </row>
    <row r="82" spans="2:5">
      <c r="B82" s="88"/>
      <c r="C82" s="11"/>
      <c r="D82" s="11"/>
      <c r="E82" s="92"/>
    </row>
    <row r="83" spans="2:5">
      <c r="B83" s="789"/>
      <c r="E83" s="790"/>
    </row>
    <row r="84" spans="2:5">
      <c r="B84" s="789"/>
      <c r="E84" s="790"/>
    </row>
    <row r="85" spans="2:5">
      <c r="B85" s="789"/>
      <c r="E85" s="790"/>
    </row>
    <row r="86" spans="2:5">
      <c r="B86" s="789"/>
      <c r="E86" s="790"/>
    </row>
    <row r="87" spans="2:5">
      <c r="B87" s="789"/>
      <c r="E87" s="790"/>
    </row>
    <row r="88" spans="2:5">
      <c r="B88" s="789"/>
      <c r="E88" s="790"/>
    </row>
    <row r="89" spans="2:5">
      <c r="B89" s="789"/>
      <c r="E89" s="790"/>
    </row>
    <row r="90" spans="2:5">
      <c r="B90" s="789"/>
      <c r="E90" s="790"/>
    </row>
    <row r="91" spans="2:5">
      <c r="B91" s="789"/>
      <c r="E91" s="790"/>
    </row>
    <row r="92" spans="2:5">
      <c r="B92" s="789"/>
      <c r="E92" s="790"/>
    </row>
    <row r="93" spans="2:5">
      <c r="B93" s="789"/>
      <c r="E93" s="790"/>
    </row>
    <row r="94" spans="2:5">
      <c r="B94" s="789"/>
      <c r="E94" s="790"/>
    </row>
    <row r="95" spans="2:5">
      <c r="B95" s="789"/>
      <c r="E95" s="790"/>
    </row>
    <row r="96" spans="2:5">
      <c r="B96" s="789"/>
      <c r="E96" s="790"/>
    </row>
    <row r="97" spans="2:5">
      <c r="B97" s="789"/>
      <c r="E97" s="790"/>
    </row>
    <row r="98" spans="2:5">
      <c r="B98" s="789"/>
      <c r="E98" s="790"/>
    </row>
    <row r="99" spans="2:5">
      <c r="E99" s="790"/>
    </row>
    <row r="100" spans="2:5">
      <c r="E100" s="790"/>
    </row>
    <row r="171" spans="4:4">
      <c r="D171" s="791">
        <f>115000000+12000000</f>
        <v>127000000</v>
      </c>
    </row>
    <row r="279" spans="4:4">
      <c r="D279" s="791"/>
    </row>
  </sheetData>
  <mergeCells count="55">
    <mergeCell ref="D1:E1"/>
    <mergeCell ref="A2:E2"/>
    <mergeCell ref="A4:E4"/>
    <mergeCell ref="A5:E5"/>
    <mergeCell ref="A7:A20"/>
    <mergeCell ref="B7:C7"/>
    <mergeCell ref="B8:B9"/>
    <mergeCell ref="C8:D8"/>
    <mergeCell ref="B10:B13"/>
    <mergeCell ref="C10:D10"/>
    <mergeCell ref="B14:B18"/>
    <mergeCell ref="C14:D14"/>
    <mergeCell ref="B19:B20"/>
    <mergeCell ref="C19:D19"/>
    <mergeCell ref="A21:A25"/>
    <mergeCell ref="B21:C21"/>
    <mergeCell ref="B22:B23"/>
    <mergeCell ref="C22:D22"/>
    <mergeCell ref="B24:B25"/>
    <mergeCell ref="C24:D24"/>
    <mergeCell ref="A26:A35"/>
    <mergeCell ref="B26:C26"/>
    <mergeCell ref="B27:B28"/>
    <mergeCell ref="C27:D27"/>
    <mergeCell ref="B29:B30"/>
    <mergeCell ref="C29:D29"/>
    <mergeCell ref="B31:B32"/>
    <mergeCell ref="C31:D31"/>
    <mergeCell ref="B33:B35"/>
    <mergeCell ref="C33:D33"/>
    <mergeCell ref="A36:A40"/>
    <mergeCell ref="B36:C36"/>
    <mergeCell ref="B37:B38"/>
    <mergeCell ref="C37:D37"/>
    <mergeCell ref="B39:B40"/>
    <mergeCell ref="C39:D39"/>
    <mergeCell ref="A41:A43"/>
    <mergeCell ref="B41:C41"/>
    <mergeCell ref="B42:B43"/>
    <mergeCell ref="C42:D42"/>
    <mergeCell ref="A44:A46"/>
    <mergeCell ref="B44:C44"/>
    <mergeCell ref="B45:B46"/>
    <mergeCell ref="C45:D45"/>
    <mergeCell ref="A47:A51"/>
    <mergeCell ref="B47:C47"/>
    <mergeCell ref="B48:B49"/>
    <mergeCell ref="C48:D48"/>
    <mergeCell ref="B50:B51"/>
    <mergeCell ref="C50:D50"/>
    <mergeCell ref="A52:A54"/>
    <mergeCell ref="B52:C52"/>
    <mergeCell ref="B53:B54"/>
    <mergeCell ref="C53:D53"/>
    <mergeCell ref="A55:D55"/>
  </mergeCells>
  <printOptions horizontalCentered="1"/>
  <pageMargins left="0.78740157480314965" right="0.39370078740157483" top="0.39370078740157483" bottom="0.39370078740157483" header="0.51181102362204722" footer="0.43307086614173229"/>
  <pageSetup paperSize="9" orientation="portrait" r:id="rId1"/>
  <headerFooter>
    <oddFooter>Strona &amp;P z &amp;N</oddFooter>
  </headerFooter>
  <rowBreaks count="1" manualBreakCount="1">
    <brk id="46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N395"/>
  <sheetViews>
    <sheetView view="pageBreakPreview" zoomScaleNormal="75" zoomScaleSheetLayoutView="100" workbookViewId="0">
      <pane ySplit="5" topLeftCell="A6" activePane="bottomLeft" state="frozen"/>
      <selection activeCell="F1798" sqref="F1798"/>
      <selection pane="bottomLeft" activeCell="F1798" sqref="F1798"/>
    </sheetView>
  </sheetViews>
  <sheetFormatPr defaultRowHeight="15.75"/>
  <cols>
    <col min="1" max="1" width="5" style="829" customWidth="1"/>
    <col min="2" max="2" width="7.85546875" style="827" customWidth="1"/>
    <col min="3" max="3" width="30.140625" style="11" customWidth="1"/>
    <col min="4" max="4" width="8.7109375" style="11" customWidth="1"/>
    <col min="5" max="5" width="11.5703125" style="11" bestFit="1" customWidth="1"/>
    <col min="6" max="6" width="11" style="11" bestFit="1" customWidth="1"/>
    <col min="7" max="7" width="12.85546875" style="11" customWidth="1"/>
    <col min="8" max="8" width="10" style="11" customWidth="1"/>
    <col min="9" max="9" width="12.85546875" style="11" customWidth="1"/>
    <col min="10" max="10" width="10.85546875" style="11" customWidth="1"/>
    <col min="11" max="11" width="12.5703125" style="11" customWidth="1"/>
    <col min="12" max="12" width="11.5703125" style="11" bestFit="1" customWidth="1"/>
    <col min="13" max="13" width="11" style="11" customWidth="1"/>
    <col min="14" max="16384" width="9.140625" style="11"/>
  </cols>
  <sheetData>
    <row r="1" spans="1:14" ht="23.25" customHeight="1">
      <c r="A1" s="1825" t="s">
        <v>872</v>
      </c>
      <c r="B1" s="1825"/>
      <c r="C1" s="1825"/>
      <c r="D1" s="1825"/>
      <c r="E1" s="1825"/>
      <c r="F1" s="1825"/>
      <c r="G1" s="1825"/>
      <c r="H1" s="1825"/>
      <c r="I1" s="1825"/>
      <c r="J1" s="1825"/>
      <c r="K1" s="1825"/>
      <c r="L1" s="1825"/>
    </row>
    <row r="2" spans="1:14" ht="13.5" thickBot="1">
      <c r="A2" s="1797" t="s">
        <v>873</v>
      </c>
      <c r="B2" s="1797"/>
      <c r="C2" s="1797"/>
      <c r="D2" s="1797"/>
      <c r="E2" s="1797"/>
      <c r="F2" s="1797"/>
      <c r="G2" s="1797"/>
      <c r="H2" s="1797"/>
      <c r="I2" s="1797"/>
      <c r="J2" s="1797"/>
      <c r="K2" s="1797"/>
      <c r="L2" s="1797"/>
    </row>
    <row r="3" spans="1:14" ht="12.75">
      <c r="A3" s="1744" t="s">
        <v>0</v>
      </c>
      <c r="B3" s="1746" t="s">
        <v>1</v>
      </c>
      <c r="C3" s="1746" t="s">
        <v>119</v>
      </c>
      <c r="D3" s="1766" t="s">
        <v>8</v>
      </c>
      <c r="E3" s="1748" t="s">
        <v>129</v>
      </c>
      <c r="F3" s="1748" t="s">
        <v>128</v>
      </c>
      <c r="G3" s="1834" t="s">
        <v>874</v>
      </c>
      <c r="H3" s="1835"/>
      <c r="I3" s="1835"/>
      <c r="J3" s="1835"/>
      <c r="K3" s="1836"/>
      <c r="L3" s="1750" t="s">
        <v>127</v>
      </c>
    </row>
    <row r="4" spans="1:14" ht="12.75" customHeight="1">
      <c r="A4" s="1826"/>
      <c r="B4" s="1828"/>
      <c r="C4" s="1828"/>
      <c r="D4" s="1830"/>
      <c r="E4" s="1832"/>
      <c r="F4" s="1832"/>
      <c r="G4" s="1832" t="s">
        <v>875</v>
      </c>
      <c r="H4" s="1828" t="s">
        <v>2</v>
      </c>
      <c r="I4" s="1828"/>
      <c r="J4" s="1832" t="s">
        <v>876</v>
      </c>
      <c r="K4" s="1839" t="s">
        <v>877</v>
      </c>
      <c r="L4" s="1837"/>
    </row>
    <row r="5" spans="1:14" ht="77.25" customHeight="1" thickBot="1">
      <c r="A5" s="1827"/>
      <c r="B5" s="1829"/>
      <c r="C5" s="1829"/>
      <c r="D5" s="1831"/>
      <c r="E5" s="1833"/>
      <c r="F5" s="1833"/>
      <c r="G5" s="1833"/>
      <c r="H5" s="792" t="s">
        <v>878</v>
      </c>
      <c r="I5" s="792" t="s">
        <v>879</v>
      </c>
      <c r="J5" s="1833"/>
      <c r="K5" s="1840"/>
      <c r="L5" s="1838"/>
    </row>
    <row r="6" spans="1:14" ht="30" customHeight="1">
      <c r="A6" s="1781" t="s">
        <v>5</v>
      </c>
      <c r="B6" s="1821" t="s">
        <v>695</v>
      </c>
      <c r="C6" s="1821"/>
      <c r="D6" s="793"/>
      <c r="E6" s="794">
        <f>SUM(E7,E14,E33,E62)</f>
        <v>21377000</v>
      </c>
      <c r="F6" s="794">
        <f>SUM(F7,F14,F33,F62)</f>
        <v>12281000</v>
      </c>
      <c r="G6" s="794">
        <f>SUM(H6:I6)</f>
        <v>12269189</v>
      </c>
      <c r="H6" s="794">
        <f>SUM(H7,H14,H33,H62)</f>
        <v>5595505</v>
      </c>
      <c r="I6" s="794">
        <f>SUM(I7,I14,I33,I62)</f>
        <v>6673684</v>
      </c>
      <c r="J6" s="794"/>
      <c r="K6" s="794">
        <f>SUM(K7,K14,K33,K62)</f>
        <v>11811</v>
      </c>
      <c r="L6" s="795">
        <f>SUM(L7,L14,L33,L62)</f>
        <v>9096000</v>
      </c>
      <c r="M6" s="768"/>
    </row>
    <row r="7" spans="1:14" ht="29.25" customHeight="1">
      <c r="A7" s="1781"/>
      <c r="B7" s="1810" t="s">
        <v>272</v>
      </c>
      <c r="C7" s="1822" t="s">
        <v>868</v>
      </c>
      <c r="D7" s="796" t="s">
        <v>880</v>
      </c>
      <c r="E7" s="797">
        <f>SUM(F7,L7)</f>
        <v>40000</v>
      </c>
      <c r="F7" s="797">
        <f>SUM(G7,J7,K7)</f>
        <v>40000</v>
      </c>
      <c r="G7" s="797">
        <f>SUM(H7:I7)</f>
        <v>40000</v>
      </c>
      <c r="H7" s="797">
        <f>SUM(H8:H13)</f>
        <v>11725</v>
      </c>
      <c r="I7" s="797">
        <f>SUM(I8:I13)</f>
        <v>28275</v>
      </c>
      <c r="J7" s="797"/>
      <c r="K7" s="797"/>
      <c r="L7" s="798"/>
      <c r="M7" s="768"/>
      <c r="N7" s="768"/>
    </row>
    <row r="8" spans="1:14" ht="12.75">
      <c r="A8" s="1781"/>
      <c r="B8" s="1811"/>
      <c r="C8" s="1823"/>
      <c r="D8" s="799" t="s">
        <v>216</v>
      </c>
      <c r="E8" s="800">
        <f>SUM(F8,L8)</f>
        <v>9800</v>
      </c>
      <c r="F8" s="800">
        <f>SUM(G8,J8,K8)</f>
        <v>9800</v>
      </c>
      <c r="G8" s="800">
        <f>SUM(H8:I8)</f>
        <v>9800</v>
      </c>
      <c r="H8" s="800">
        <v>9800</v>
      </c>
      <c r="I8" s="800"/>
      <c r="J8" s="800"/>
      <c r="K8" s="800"/>
      <c r="L8" s="801"/>
    </row>
    <row r="9" spans="1:14" ht="12.75">
      <c r="A9" s="1781"/>
      <c r="B9" s="1811"/>
      <c r="C9" s="1823"/>
      <c r="D9" s="799" t="s">
        <v>220</v>
      </c>
      <c r="E9" s="800">
        <f t="shared" ref="E9:E13" si="0">SUM(F9,L9)</f>
        <v>1685</v>
      </c>
      <c r="F9" s="800">
        <f t="shared" ref="F9:F13" si="1">SUM(G9,J9,K9)</f>
        <v>1685</v>
      </c>
      <c r="G9" s="800">
        <f t="shared" ref="G9:G13" si="2">SUM(H9:I9)</f>
        <v>1685</v>
      </c>
      <c r="H9" s="800">
        <v>1685</v>
      </c>
      <c r="I9" s="800"/>
      <c r="J9" s="800"/>
      <c r="K9" s="800"/>
      <c r="L9" s="801"/>
    </row>
    <row r="10" spans="1:14" ht="12.75">
      <c r="A10" s="1781"/>
      <c r="B10" s="1811"/>
      <c r="C10" s="1823"/>
      <c r="D10" s="799" t="s">
        <v>222</v>
      </c>
      <c r="E10" s="800">
        <f t="shared" si="0"/>
        <v>240</v>
      </c>
      <c r="F10" s="800">
        <f t="shared" si="1"/>
        <v>240</v>
      </c>
      <c r="G10" s="800">
        <f t="shared" si="2"/>
        <v>240</v>
      </c>
      <c r="H10" s="800">
        <v>240</v>
      </c>
      <c r="I10" s="800"/>
      <c r="J10" s="800"/>
      <c r="K10" s="800"/>
      <c r="L10" s="801"/>
    </row>
    <row r="11" spans="1:14" ht="12.75">
      <c r="A11" s="1781"/>
      <c r="B11" s="1811"/>
      <c r="C11" s="1823"/>
      <c r="D11" s="799" t="s">
        <v>229</v>
      </c>
      <c r="E11" s="800">
        <f t="shared" si="0"/>
        <v>17106</v>
      </c>
      <c r="F11" s="800">
        <f t="shared" si="1"/>
        <v>17106</v>
      </c>
      <c r="G11" s="800">
        <f t="shared" si="2"/>
        <v>17106</v>
      </c>
      <c r="H11" s="800"/>
      <c r="I11" s="800">
        <v>17106</v>
      </c>
      <c r="J11" s="800"/>
      <c r="K11" s="800"/>
      <c r="L11" s="801"/>
    </row>
    <row r="12" spans="1:14" ht="12.75">
      <c r="A12" s="1781"/>
      <c r="B12" s="1811"/>
      <c r="C12" s="1823"/>
      <c r="D12" s="799" t="s">
        <v>237</v>
      </c>
      <c r="E12" s="800">
        <f t="shared" si="0"/>
        <v>10000</v>
      </c>
      <c r="F12" s="800">
        <f t="shared" si="1"/>
        <v>10000</v>
      </c>
      <c r="G12" s="800">
        <f t="shared" si="2"/>
        <v>10000</v>
      </c>
      <c r="H12" s="800"/>
      <c r="I12" s="800">
        <v>10000</v>
      </c>
      <c r="J12" s="800"/>
      <c r="K12" s="800"/>
      <c r="L12" s="801"/>
    </row>
    <row r="13" spans="1:14" ht="12.75">
      <c r="A13" s="1781"/>
      <c r="B13" s="1812"/>
      <c r="C13" s="1824"/>
      <c r="D13" s="799" t="s">
        <v>249</v>
      </c>
      <c r="E13" s="800">
        <f t="shared" si="0"/>
        <v>1169</v>
      </c>
      <c r="F13" s="800">
        <f t="shared" si="1"/>
        <v>1169</v>
      </c>
      <c r="G13" s="800">
        <f t="shared" si="2"/>
        <v>1169</v>
      </c>
      <c r="H13" s="800"/>
      <c r="I13" s="800">
        <v>1169</v>
      </c>
      <c r="J13" s="800"/>
      <c r="K13" s="800"/>
      <c r="L13" s="801"/>
    </row>
    <row r="14" spans="1:14" ht="25.5" customHeight="1">
      <c r="A14" s="1781"/>
      <c r="B14" s="1810" t="s">
        <v>277</v>
      </c>
      <c r="C14" s="1813" t="s">
        <v>278</v>
      </c>
      <c r="D14" s="784" t="s">
        <v>880</v>
      </c>
      <c r="E14" s="797">
        <f>SUM(F14,L14)</f>
        <v>13816000</v>
      </c>
      <c r="F14" s="797">
        <f>SUM(G14,J14,K14)</f>
        <v>5000000</v>
      </c>
      <c r="G14" s="797">
        <f>SUM(H14:I14)</f>
        <v>4988189</v>
      </c>
      <c r="H14" s="797">
        <f>SUM(H15:H32)</f>
        <v>1339780</v>
      </c>
      <c r="I14" s="797">
        <f t="shared" ref="I14:L14" si="3">SUM(I15:I32)</f>
        <v>3648409</v>
      </c>
      <c r="J14" s="797"/>
      <c r="K14" s="797">
        <f t="shared" si="3"/>
        <v>11811</v>
      </c>
      <c r="L14" s="798">
        <f t="shared" si="3"/>
        <v>8816000</v>
      </c>
      <c r="M14" s="802"/>
    </row>
    <row r="15" spans="1:14" ht="12.75">
      <c r="A15" s="1781"/>
      <c r="B15" s="1811"/>
      <c r="C15" s="1814"/>
      <c r="D15" s="803">
        <v>3020</v>
      </c>
      <c r="E15" s="800">
        <f t="shared" ref="E15:E21" si="4">SUM(F15,L15)</f>
        <v>11811</v>
      </c>
      <c r="F15" s="800">
        <f t="shared" ref="F15:F21" si="5">SUM(G15,J15,K15)</f>
        <v>11811</v>
      </c>
      <c r="G15" s="800"/>
      <c r="H15" s="800"/>
      <c r="I15" s="800"/>
      <c r="J15" s="800"/>
      <c r="K15" s="800">
        <v>11811</v>
      </c>
      <c r="L15" s="801"/>
      <c r="M15" s="802"/>
    </row>
    <row r="16" spans="1:14" ht="12.75">
      <c r="A16" s="1781"/>
      <c r="B16" s="1811"/>
      <c r="C16" s="1814"/>
      <c r="D16" s="803">
        <v>4010</v>
      </c>
      <c r="E16" s="800">
        <f t="shared" si="4"/>
        <v>1038200</v>
      </c>
      <c r="F16" s="800">
        <f t="shared" si="5"/>
        <v>1038200</v>
      </c>
      <c r="G16" s="800">
        <f t="shared" ref="G16:G20" si="6">SUM(H16:I16)</f>
        <v>1038200</v>
      </c>
      <c r="H16" s="800">
        <v>1038200</v>
      </c>
      <c r="I16" s="800"/>
      <c r="J16" s="800"/>
      <c r="K16" s="800"/>
      <c r="L16" s="801"/>
      <c r="M16" s="802"/>
    </row>
    <row r="17" spans="1:13" ht="12.75">
      <c r="A17" s="1781"/>
      <c r="B17" s="1811"/>
      <c r="C17" s="1814"/>
      <c r="D17" s="803">
        <v>4040</v>
      </c>
      <c r="E17" s="800">
        <f t="shared" si="4"/>
        <v>86310</v>
      </c>
      <c r="F17" s="800">
        <f t="shared" si="5"/>
        <v>86310</v>
      </c>
      <c r="G17" s="800">
        <f t="shared" si="6"/>
        <v>86310</v>
      </c>
      <c r="H17" s="800">
        <v>86310</v>
      </c>
      <c r="I17" s="800"/>
      <c r="J17" s="800"/>
      <c r="K17" s="800"/>
      <c r="L17" s="801"/>
      <c r="M17" s="802"/>
    </row>
    <row r="18" spans="1:13" ht="12.75">
      <c r="A18" s="1781"/>
      <c r="B18" s="1811"/>
      <c r="C18" s="1814"/>
      <c r="D18" s="803">
        <v>4110</v>
      </c>
      <c r="E18" s="800">
        <f t="shared" si="4"/>
        <v>188285</v>
      </c>
      <c r="F18" s="800">
        <f t="shared" si="5"/>
        <v>188285</v>
      </c>
      <c r="G18" s="800">
        <f t="shared" si="6"/>
        <v>188285</v>
      </c>
      <c r="H18" s="800">
        <v>188285</v>
      </c>
      <c r="I18" s="800"/>
      <c r="J18" s="800"/>
      <c r="K18" s="800"/>
      <c r="L18" s="801"/>
      <c r="M18" s="802"/>
    </row>
    <row r="19" spans="1:13" ht="12.75">
      <c r="A19" s="1781"/>
      <c r="B19" s="1811"/>
      <c r="C19" s="1814"/>
      <c r="D19" s="803">
        <v>4120</v>
      </c>
      <c r="E19" s="800">
        <f t="shared" si="4"/>
        <v>26835</v>
      </c>
      <c r="F19" s="800">
        <f t="shared" si="5"/>
        <v>26835</v>
      </c>
      <c r="G19" s="800">
        <f t="shared" si="6"/>
        <v>26835</v>
      </c>
      <c r="H19" s="800">
        <v>26835</v>
      </c>
      <c r="I19" s="800"/>
      <c r="J19" s="800"/>
      <c r="K19" s="800"/>
      <c r="L19" s="801"/>
      <c r="M19" s="802"/>
    </row>
    <row r="20" spans="1:13" ht="12.75">
      <c r="A20" s="1781"/>
      <c r="B20" s="1811"/>
      <c r="C20" s="1814"/>
      <c r="D20" s="803">
        <v>4170</v>
      </c>
      <c r="E20" s="800">
        <f t="shared" si="4"/>
        <v>150</v>
      </c>
      <c r="F20" s="800">
        <f t="shared" si="5"/>
        <v>150</v>
      </c>
      <c r="G20" s="800">
        <f t="shared" si="6"/>
        <v>150</v>
      </c>
      <c r="H20" s="800">
        <v>150</v>
      </c>
      <c r="I20" s="800"/>
      <c r="J20" s="800"/>
      <c r="K20" s="800"/>
      <c r="L20" s="801"/>
      <c r="M20" s="802"/>
    </row>
    <row r="21" spans="1:13" ht="12.75">
      <c r="A21" s="1781"/>
      <c r="B21" s="1811"/>
      <c r="C21" s="1814"/>
      <c r="D21" s="803">
        <v>4140</v>
      </c>
      <c r="E21" s="800">
        <f t="shared" si="4"/>
        <v>42624</v>
      </c>
      <c r="F21" s="800">
        <f t="shared" si="5"/>
        <v>42624</v>
      </c>
      <c r="G21" s="800">
        <f>SUM(H21:I21)</f>
        <v>42624</v>
      </c>
      <c r="H21" s="800"/>
      <c r="I21" s="800">
        <v>42624</v>
      </c>
      <c r="J21" s="800"/>
      <c r="K21" s="800"/>
      <c r="L21" s="801"/>
      <c r="M21" s="802"/>
    </row>
    <row r="22" spans="1:13" ht="12.75">
      <c r="A22" s="1781"/>
      <c r="B22" s="1811"/>
      <c r="C22" s="1814"/>
      <c r="D22" s="803">
        <v>4210</v>
      </c>
      <c r="E22" s="800">
        <f>SUM(F22,L22)</f>
        <v>40000</v>
      </c>
      <c r="F22" s="800">
        <f>SUM(G22,J22,K22)</f>
        <v>40000</v>
      </c>
      <c r="G22" s="800">
        <f>SUM(H22:I22)</f>
        <v>40000</v>
      </c>
      <c r="H22" s="800"/>
      <c r="I22" s="800">
        <v>40000</v>
      </c>
      <c r="J22" s="800"/>
      <c r="K22" s="800"/>
      <c r="L22" s="801"/>
      <c r="M22" s="802"/>
    </row>
    <row r="23" spans="1:13" ht="12.75">
      <c r="A23" s="1781"/>
      <c r="B23" s="1811"/>
      <c r="C23" s="1814"/>
      <c r="D23" s="803">
        <v>4260</v>
      </c>
      <c r="E23" s="800">
        <f t="shared" ref="E23:E32" si="7">SUM(F23,L23)</f>
        <v>600000</v>
      </c>
      <c r="F23" s="800">
        <f t="shared" ref="F23:F30" si="8">SUM(G23,J23,K23)</f>
        <v>600000</v>
      </c>
      <c r="G23" s="800">
        <f t="shared" ref="G23:G30" si="9">SUM(H23:I23)</f>
        <v>600000</v>
      </c>
      <c r="H23" s="800"/>
      <c r="I23" s="800">
        <v>600000</v>
      </c>
      <c r="J23" s="800"/>
      <c r="K23" s="800"/>
      <c r="L23" s="801"/>
      <c r="M23" s="802"/>
    </row>
    <row r="24" spans="1:13" ht="12.75">
      <c r="A24" s="1781"/>
      <c r="B24" s="1811"/>
      <c r="C24" s="1814"/>
      <c r="D24" s="803">
        <v>4270</v>
      </c>
      <c r="E24" s="800">
        <f t="shared" si="7"/>
        <v>2624643</v>
      </c>
      <c r="F24" s="800">
        <f t="shared" si="8"/>
        <v>2624643</v>
      </c>
      <c r="G24" s="800">
        <f t="shared" si="9"/>
        <v>2624643</v>
      </c>
      <c r="H24" s="800"/>
      <c r="I24" s="800">
        <f>2695671-71028</f>
        <v>2624643</v>
      </c>
      <c r="J24" s="800"/>
      <c r="K24" s="800"/>
      <c r="L24" s="801"/>
      <c r="M24" s="802"/>
    </row>
    <row r="25" spans="1:13" ht="12.75">
      <c r="A25" s="1781"/>
      <c r="B25" s="1811"/>
      <c r="C25" s="1814"/>
      <c r="D25" s="803">
        <v>4280</v>
      </c>
      <c r="E25" s="800">
        <f t="shared" si="7"/>
        <v>1000</v>
      </c>
      <c r="F25" s="800">
        <f t="shared" si="8"/>
        <v>1000</v>
      </c>
      <c r="G25" s="800">
        <f t="shared" si="9"/>
        <v>1000</v>
      </c>
      <c r="H25" s="800"/>
      <c r="I25" s="800">
        <v>1000</v>
      </c>
      <c r="J25" s="800"/>
      <c r="K25" s="800"/>
      <c r="L25" s="801"/>
      <c r="M25" s="802"/>
    </row>
    <row r="26" spans="1:13" ht="12.75">
      <c r="A26" s="1781"/>
      <c r="B26" s="1811"/>
      <c r="C26" s="1814"/>
      <c r="D26" s="803">
        <v>4300</v>
      </c>
      <c r="E26" s="800">
        <f t="shared" si="7"/>
        <v>300000</v>
      </c>
      <c r="F26" s="800">
        <f t="shared" si="8"/>
        <v>300000</v>
      </c>
      <c r="G26" s="800">
        <f t="shared" si="9"/>
        <v>300000</v>
      </c>
      <c r="H26" s="800"/>
      <c r="I26" s="800">
        <v>300000</v>
      </c>
      <c r="J26" s="800"/>
      <c r="K26" s="800"/>
      <c r="L26" s="801"/>
      <c r="M26" s="802"/>
    </row>
    <row r="27" spans="1:13" ht="12.75">
      <c r="A27" s="1781"/>
      <c r="B27" s="1811"/>
      <c r="C27" s="1814"/>
      <c r="D27" s="803">
        <v>4360</v>
      </c>
      <c r="E27" s="800">
        <f t="shared" si="7"/>
        <v>1595</v>
      </c>
      <c r="F27" s="800">
        <f t="shared" si="8"/>
        <v>1595</v>
      </c>
      <c r="G27" s="800">
        <f t="shared" si="9"/>
        <v>1595</v>
      </c>
      <c r="H27" s="800"/>
      <c r="I27" s="800">
        <v>1595</v>
      </c>
      <c r="J27" s="800"/>
      <c r="K27" s="800"/>
      <c r="L27" s="801"/>
      <c r="M27" s="802"/>
    </row>
    <row r="28" spans="1:13" ht="12.75">
      <c r="A28" s="1781"/>
      <c r="B28" s="1811"/>
      <c r="C28" s="1814"/>
      <c r="D28" s="803">
        <v>4440</v>
      </c>
      <c r="E28" s="800">
        <f t="shared" si="7"/>
        <v>36647</v>
      </c>
      <c r="F28" s="800">
        <f t="shared" si="8"/>
        <v>36647</v>
      </c>
      <c r="G28" s="800">
        <f t="shared" si="9"/>
        <v>36647</v>
      </c>
      <c r="H28" s="800"/>
      <c r="I28" s="800">
        <v>36647</v>
      </c>
      <c r="J28" s="800"/>
      <c r="K28" s="800"/>
      <c r="L28" s="801"/>
      <c r="M28" s="802"/>
    </row>
    <row r="29" spans="1:13" ht="12.75">
      <c r="A29" s="1781"/>
      <c r="B29" s="1811"/>
      <c r="C29" s="1814"/>
      <c r="D29" s="803">
        <v>4480</v>
      </c>
      <c r="E29" s="800">
        <f t="shared" si="7"/>
        <v>1100</v>
      </c>
      <c r="F29" s="800">
        <f t="shared" si="8"/>
        <v>1100</v>
      </c>
      <c r="G29" s="800">
        <f t="shared" si="9"/>
        <v>1100</v>
      </c>
      <c r="H29" s="800"/>
      <c r="I29" s="800">
        <v>1100</v>
      </c>
      <c r="J29" s="800"/>
      <c r="K29" s="800"/>
      <c r="L29" s="801"/>
      <c r="M29" s="802"/>
    </row>
    <row r="30" spans="1:13" ht="12.75">
      <c r="A30" s="1781"/>
      <c r="B30" s="1811"/>
      <c r="C30" s="1814"/>
      <c r="D30" s="803">
        <v>4500</v>
      </c>
      <c r="E30" s="800">
        <f t="shared" si="7"/>
        <v>800</v>
      </c>
      <c r="F30" s="800">
        <f t="shared" si="8"/>
        <v>800</v>
      </c>
      <c r="G30" s="800">
        <f t="shared" si="9"/>
        <v>800</v>
      </c>
      <c r="H30" s="800"/>
      <c r="I30" s="800">
        <v>800</v>
      </c>
      <c r="J30" s="800"/>
      <c r="K30" s="800"/>
      <c r="L30" s="801"/>
      <c r="M30" s="802"/>
    </row>
    <row r="31" spans="1:13" ht="12.75">
      <c r="A31" s="1781"/>
      <c r="B31" s="1811"/>
      <c r="C31" s="1814"/>
      <c r="D31" s="803">
        <v>6050</v>
      </c>
      <c r="E31" s="800">
        <f t="shared" si="7"/>
        <v>6201000</v>
      </c>
      <c r="F31" s="800"/>
      <c r="G31" s="800"/>
      <c r="H31" s="800"/>
      <c r="I31" s="800"/>
      <c r="J31" s="800"/>
      <c r="K31" s="800"/>
      <c r="L31" s="801">
        <v>6201000</v>
      </c>
      <c r="M31" s="802"/>
    </row>
    <row r="32" spans="1:13" ht="12.75">
      <c r="A32" s="1781"/>
      <c r="B32" s="1812"/>
      <c r="C32" s="1815"/>
      <c r="D32" s="803">
        <v>6059</v>
      </c>
      <c r="E32" s="800">
        <f t="shared" si="7"/>
        <v>2615000</v>
      </c>
      <c r="F32" s="800"/>
      <c r="G32" s="800"/>
      <c r="H32" s="800"/>
      <c r="I32" s="800"/>
      <c r="J32" s="800"/>
      <c r="K32" s="800"/>
      <c r="L32" s="801">
        <v>2615000</v>
      </c>
      <c r="M32" s="802"/>
    </row>
    <row r="33" spans="1:13" ht="25.5" customHeight="1">
      <c r="A33" s="1781"/>
      <c r="B33" s="1810" t="s">
        <v>289</v>
      </c>
      <c r="C33" s="1813" t="s">
        <v>881</v>
      </c>
      <c r="D33" s="784" t="s">
        <v>880</v>
      </c>
      <c r="E33" s="797">
        <f>SUM(F33,L33)</f>
        <v>7506000</v>
      </c>
      <c r="F33" s="797">
        <f>SUM(G33,J33,K33)</f>
        <v>7226000</v>
      </c>
      <c r="G33" s="797">
        <f>SUM(H33:I33)</f>
        <v>7226000</v>
      </c>
      <c r="H33" s="797">
        <f>SUM(H34:H61)</f>
        <v>4244000</v>
      </c>
      <c r="I33" s="797">
        <f t="shared" ref="I33" si="10">SUM(I34:I61)</f>
        <v>2982000</v>
      </c>
      <c r="J33" s="797"/>
      <c r="K33" s="797"/>
      <c r="L33" s="798">
        <f>SUM(L34:L61)</f>
        <v>280000</v>
      </c>
    </row>
    <row r="34" spans="1:13" ht="12.75">
      <c r="A34" s="1781"/>
      <c r="B34" s="1811"/>
      <c r="C34" s="1814"/>
      <c r="D34" s="804">
        <v>4018</v>
      </c>
      <c r="E34" s="800">
        <f>SUM(F34,L34)</f>
        <v>2234000</v>
      </c>
      <c r="F34" s="800">
        <f>SUM(G34,J34,K34)</f>
        <v>2234000</v>
      </c>
      <c r="G34" s="800">
        <f>SUM(H34:I34)</f>
        <v>2234000</v>
      </c>
      <c r="H34" s="800">
        <v>2234000</v>
      </c>
      <c r="I34" s="800"/>
      <c r="J34" s="800"/>
      <c r="K34" s="800"/>
      <c r="L34" s="801"/>
      <c r="M34" s="768"/>
    </row>
    <row r="35" spans="1:13" ht="12.75">
      <c r="A35" s="1781"/>
      <c r="B35" s="1811"/>
      <c r="C35" s="1814"/>
      <c r="D35" s="804">
        <v>4019</v>
      </c>
      <c r="E35" s="800">
        <f t="shared" ref="E35:E61" si="11">SUM(F35,L35)</f>
        <v>966000</v>
      </c>
      <c r="F35" s="800">
        <f t="shared" ref="F35:F59" si="12">SUM(G35,J35,K35)</f>
        <v>966000</v>
      </c>
      <c r="G35" s="800">
        <f t="shared" ref="G35:G59" si="13">SUM(H35:I35)</f>
        <v>966000</v>
      </c>
      <c r="H35" s="800">
        <v>966000</v>
      </c>
      <c r="I35" s="800"/>
      <c r="J35" s="800"/>
      <c r="K35" s="800"/>
      <c r="L35" s="801"/>
    </row>
    <row r="36" spans="1:13" ht="12.75">
      <c r="A36" s="1781"/>
      <c r="B36" s="1811"/>
      <c r="C36" s="1814"/>
      <c r="D36" s="804">
        <v>4048</v>
      </c>
      <c r="E36" s="800">
        <f t="shared" si="11"/>
        <v>225000</v>
      </c>
      <c r="F36" s="800">
        <f t="shared" si="12"/>
        <v>225000</v>
      </c>
      <c r="G36" s="800">
        <f t="shared" si="13"/>
        <v>225000</v>
      </c>
      <c r="H36" s="800">
        <v>225000</v>
      </c>
      <c r="I36" s="800"/>
      <c r="J36" s="800"/>
      <c r="K36" s="800"/>
      <c r="L36" s="801"/>
    </row>
    <row r="37" spans="1:13" ht="12.75">
      <c r="A37" s="1781"/>
      <c r="B37" s="1811"/>
      <c r="C37" s="1814"/>
      <c r="D37" s="804">
        <v>4049</v>
      </c>
      <c r="E37" s="800">
        <f t="shared" si="11"/>
        <v>75000</v>
      </c>
      <c r="F37" s="800">
        <f t="shared" si="12"/>
        <v>75000</v>
      </c>
      <c r="G37" s="800">
        <f t="shared" si="13"/>
        <v>75000</v>
      </c>
      <c r="H37" s="800">
        <v>75000</v>
      </c>
      <c r="I37" s="800"/>
      <c r="J37" s="800"/>
      <c r="K37" s="800"/>
      <c r="L37" s="801"/>
    </row>
    <row r="38" spans="1:13" ht="12.75">
      <c r="A38" s="1781"/>
      <c r="B38" s="1811"/>
      <c r="C38" s="1814"/>
      <c r="D38" s="804">
        <v>4118</v>
      </c>
      <c r="E38" s="800">
        <f t="shared" si="11"/>
        <v>425500</v>
      </c>
      <c r="F38" s="800">
        <f t="shared" si="12"/>
        <v>425500</v>
      </c>
      <c r="G38" s="800">
        <f t="shared" si="13"/>
        <v>425500</v>
      </c>
      <c r="H38" s="800">
        <v>425500</v>
      </c>
      <c r="I38" s="800"/>
      <c r="J38" s="800"/>
      <c r="K38" s="800"/>
      <c r="L38" s="801"/>
    </row>
    <row r="39" spans="1:13" ht="12.75">
      <c r="A39" s="1781"/>
      <c r="B39" s="1811"/>
      <c r="C39" s="1814"/>
      <c r="D39" s="804">
        <v>4119</v>
      </c>
      <c r="E39" s="800">
        <f t="shared" si="11"/>
        <v>185500</v>
      </c>
      <c r="F39" s="800">
        <f t="shared" si="12"/>
        <v>185500</v>
      </c>
      <c r="G39" s="800">
        <f t="shared" si="13"/>
        <v>185500</v>
      </c>
      <c r="H39" s="800">
        <v>185500</v>
      </c>
      <c r="I39" s="800"/>
      <c r="J39" s="800"/>
      <c r="K39" s="800"/>
      <c r="L39" s="801"/>
      <c r="M39" s="768"/>
    </row>
    <row r="40" spans="1:13" ht="12.75">
      <c r="A40" s="1781"/>
      <c r="B40" s="1811"/>
      <c r="C40" s="1814"/>
      <c r="D40" s="804">
        <v>4128</v>
      </c>
      <c r="E40" s="800">
        <f t="shared" si="11"/>
        <v>63840</v>
      </c>
      <c r="F40" s="800">
        <f t="shared" si="12"/>
        <v>63840</v>
      </c>
      <c r="G40" s="800">
        <f t="shared" si="13"/>
        <v>63840</v>
      </c>
      <c r="H40" s="800">
        <v>63840</v>
      </c>
      <c r="I40" s="800"/>
      <c r="J40" s="800"/>
      <c r="K40" s="800"/>
      <c r="L40" s="801"/>
    </row>
    <row r="41" spans="1:13" ht="12.75">
      <c r="A41" s="1781"/>
      <c r="B41" s="1811"/>
      <c r="C41" s="1814"/>
      <c r="D41" s="804">
        <v>4129</v>
      </c>
      <c r="E41" s="800">
        <f t="shared" si="11"/>
        <v>29160</v>
      </c>
      <c r="F41" s="800">
        <f t="shared" si="12"/>
        <v>29160</v>
      </c>
      <c r="G41" s="800">
        <f t="shared" si="13"/>
        <v>29160</v>
      </c>
      <c r="H41" s="800">
        <v>29160</v>
      </c>
      <c r="I41" s="800"/>
      <c r="J41" s="800"/>
      <c r="K41" s="800"/>
      <c r="L41" s="801"/>
    </row>
    <row r="42" spans="1:13" ht="12.75">
      <c r="A42" s="1781"/>
      <c r="B42" s="1811"/>
      <c r="C42" s="1814"/>
      <c r="D42" s="804">
        <v>4178</v>
      </c>
      <c r="E42" s="800">
        <f t="shared" si="11"/>
        <v>30000</v>
      </c>
      <c r="F42" s="800">
        <f t="shared" si="12"/>
        <v>30000</v>
      </c>
      <c r="G42" s="800">
        <f t="shared" si="13"/>
        <v>30000</v>
      </c>
      <c r="H42" s="800">
        <v>30000</v>
      </c>
      <c r="I42" s="800"/>
      <c r="J42" s="800"/>
      <c r="K42" s="800"/>
      <c r="L42" s="801"/>
    </row>
    <row r="43" spans="1:13" ht="12.75">
      <c r="A43" s="1781"/>
      <c r="B43" s="1811"/>
      <c r="C43" s="1814"/>
      <c r="D43" s="804">
        <v>4179</v>
      </c>
      <c r="E43" s="800">
        <f t="shared" si="11"/>
        <v>10000</v>
      </c>
      <c r="F43" s="800">
        <f t="shared" si="12"/>
        <v>10000</v>
      </c>
      <c r="G43" s="800">
        <f t="shared" si="13"/>
        <v>10000</v>
      </c>
      <c r="H43" s="800">
        <v>10000</v>
      </c>
      <c r="I43" s="800"/>
      <c r="J43" s="800"/>
      <c r="K43" s="800"/>
      <c r="L43" s="801"/>
      <c r="M43" s="768"/>
    </row>
    <row r="44" spans="1:13" ht="12.75">
      <c r="A44" s="1781"/>
      <c r="B44" s="1811"/>
      <c r="C44" s="1814"/>
      <c r="D44" s="803">
        <v>4218</v>
      </c>
      <c r="E44" s="800">
        <f t="shared" si="11"/>
        <v>865500</v>
      </c>
      <c r="F44" s="800">
        <f t="shared" si="12"/>
        <v>865500</v>
      </c>
      <c r="G44" s="800">
        <f t="shared" si="13"/>
        <v>865500</v>
      </c>
      <c r="H44" s="800"/>
      <c r="I44" s="800">
        <v>865500</v>
      </c>
      <c r="J44" s="800"/>
      <c r="K44" s="800"/>
      <c r="L44" s="801"/>
    </row>
    <row r="45" spans="1:13" ht="12.75">
      <c r="A45" s="1781"/>
      <c r="B45" s="1811"/>
      <c r="C45" s="1814"/>
      <c r="D45" s="803">
        <v>4219</v>
      </c>
      <c r="E45" s="800">
        <f t="shared" si="11"/>
        <v>310500</v>
      </c>
      <c r="F45" s="800">
        <f t="shared" si="12"/>
        <v>310500</v>
      </c>
      <c r="G45" s="800">
        <f t="shared" si="13"/>
        <v>310500</v>
      </c>
      <c r="H45" s="800"/>
      <c r="I45" s="800">
        <v>310500</v>
      </c>
      <c r="J45" s="800"/>
      <c r="K45" s="800"/>
      <c r="L45" s="801"/>
    </row>
    <row r="46" spans="1:13" ht="12.75">
      <c r="A46" s="1781"/>
      <c r="B46" s="1811"/>
      <c r="C46" s="1814"/>
      <c r="D46" s="803">
        <v>4308</v>
      </c>
      <c r="E46" s="800">
        <f t="shared" si="11"/>
        <v>1188750</v>
      </c>
      <c r="F46" s="800">
        <f t="shared" si="12"/>
        <v>1188750</v>
      </c>
      <c r="G46" s="800">
        <f t="shared" si="13"/>
        <v>1188750</v>
      </c>
      <c r="H46" s="800"/>
      <c r="I46" s="800">
        <v>1188750</v>
      </c>
      <c r="J46" s="800"/>
      <c r="K46" s="800"/>
      <c r="L46" s="801"/>
    </row>
    <row r="47" spans="1:13" ht="12.75">
      <c r="A47" s="1781"/>
      <c r="B47" s="1811"/>
      <c r="C47" s="1814"/>
      <c r="D47" s="803">
        <v>4309</v>
      </c>
      <c r="E47" s="800">
        <f t="shared" si="11"/>
        <v>451250</v>
      </c>
      <c r="F47" s="800">
        <f t="shared" si="12"/>
        <v>451250</v>
      </c>
      <c r="G47" s="800">
        <f t="shared" si="13"/>
        <v>451250</v>
      </c>
      <c r="H47" s="800"/>
      <c r="I47" s="800">
        <v>451250</v>
      </c>
      <c r="J47" s="800"/>
      <c r="K47" s="800"/>
      <c r="L47" s="801"/>
    </row>
    <row r="48" spans="1:13" ht="12.75">
      <c r="A48" s="1781"/>
      <c r="B48" s="1811"/>
      <c r="C48" s="1814"/>
      <c r="D48" s="803">
        <v>4358</v>
      </c>
      <c r="E48" s="800">
        <f t="shared" si="11"/>
        <v>1380</v>
      </c>
      <c r="F48" s="800">
        <f t="shared" si="12"/>
        <v>1380</v>
      </c>
      <c r="G48" s="800">
        <f t="shared" si="13"/>
        <v>1380</v>
      </c>
      <c r="H48" s="800"/>
      <c r="I48" s="800">
        <v>1380</v>
      </c>
      <c r="J48" s="800"/>
      <c r="K48" s="800"/>
      <c r="L48" s="801"/>
    </row>
    <row r="49" spans="1:13" ht="12.75">
      <c r="A49" s="1781"/>
      <c r="B49" s="1811"/>
      <c r="C49" s="1814"/>
      <c r="D49" s="803">
        <v>4359</v>
      </c>
      <c r="E49" s="800">
        <f t="shared" si="11"/>
        <v>620</v>
      </c>
      <c r="F49" s="800">
        <f t="shared" si="12"/>
        <v>620</v>
      </c>
      <c r="G49" s="800">
        <f t="shared" si="13"/>
        <v>620</v>
      </c>
      <c r="H49" s="800"/>
      <c r="I49" s="800">
        <v>620</v>
      </c>
      <c r="J49" s="800"/>
      <c r="K49" s="800"/>
      <c r="L49" s="801"/>
    </row>
    <row r="50" spans="1:13" ht="12.75">
      <c r="A50" s="1781"/>
      <c r="B50" s="1811"/>
      <c r="C50" s="1814"/>
      <c r="D50" s="803">
        <v>4368</v>
      </c>
      <c r="E50" s="800">
        <f t="shared" si="11"/>
        <v>2880</v>
      </c>
      <c r="F50" s="800">
        <f t="shared" si="12"/>
        <v>2880</v>
      </c>
      <c r="G50" s="800">
        <f t="shared" si="13"/>
        <v>2880</v>
      </c>
      <c r="H50" s="800"/>
      <c r="I50" s="800">
        <v>2880</v>
      </c>
      <c r="J50" s="800"/>
      <c r="K50" s="800"/>
      <c r="L50" s="801"/>
    </row>
    <row r="51" spans="1:13" ht="12.75">
      <c r="A51" s="1781"/>
      <c r="B51" s="1811"/>
      <c r="C51" s="1814"/>
      <c r="D51" s="803">
        <v>4369</v>
      </c>
      <c r="E51" s="800">
        <f t="shared" si="11"/>
        <v>1120</v>
      </c>
      <c r="F51" s="800">
        <f t="shared" si="12"/>
        <v>1120</v>
      </c>
      <c r="G51" s="800">
        <f t="shared" si="13"/>
        <v>1120</v>
      </c>
      <c r="H51" s="800"/>
      <c r="I51" s="800">
        <v>1120</v>
      </c>
      <c r="J51" s="800"/>
      <c r="K51" s="800"/>
      <c r="L51" s="801"/>
    </row>
    <row r="52" spans="1:13" ht="12.75">
      <c r="A52" s="1781"/>
      <c r="B52" s="1811"/>
      <c r="C52" s="1814"/>
      <c r="D52" s="803">
        <v>4418</v>
      </c>
      <c r="E52" s="800">
        <f t="shared" si="11"/>
        <v>46450</v>
      </c>
      <c r="F52" s="800">
        <f t="shared" si="12"/>
        <v>46450</v>
      </c>
      <c r="G52" s="800">
        <f t="shared" si="13"/>
        <v>46450</v>
      </c>
      <c r="H52" s="800"/>
      <c r="I52" s="800">
        <v>46450</v>
      </c>
      <c r="J52" s="800"/>
      <c r="K52" s="800"/>
      <c r="L52" s="801"/>
    </row>
    <row r="53" spans="1:13" ht="12.75">
      <c r="A53" s="1781"/>
      <c r="B53" s="1811"/>
      <c r="C53" s="1814"/>
      <c r="D53" s="803">
        <v>4419</v>
      </c>
      <c r="E53" s="800">
        <f t="shared" si="11"/>
        <v>18550</v>
      </c>
      <c r="F53" s="800">
        <f t="shared" si="12"/>
        <v>18550</v>
      </c>
      <c r="G53" s="800">
        <f t="shared" si="13"/>
        <v>18550</v>
      </c>
      <c r="H53" s="800"/>
      <c r="I53" s="800">
        <v>18550</v>
      </c>
      <c r="J53" s="800"/>
      <c r="K53" s="800"/>
      <c r="L53" s="801"/>
    </row>
    <row r="54" spans="1:13" ht="12.75">
      <c r="A54" s="1781"/>
      <c r="B54" s="1811"/>
      <c r="C54" s="1814"/>
      <c r="D54" s="803">
        <v>4428</v>
      </c>
      <c r="E54" s="800">
        <f t="shared" si="11"/>
        <v>7500</v>
      </c>
      <c r="F54" s="800">
        <f t="shared" si="12"/>
        <v>7500</v>
      </c>
      <c r="G54" s="800">
        <f t="shared" si="13"/>
        <v>7500</v>
      </c>
      <c r="H54" s="800"/>
      <c r="I54" s="800">
        <v>7500</v>
      </c>
      <c r="J54" s="800"/>
      <c r="K54" s="800"/>
      <c r="L54" s="801"/>
    </row>
    <row r="55" spans="1:13" ht="12.75">
      <c r="A55" s="1781"/>
      <c r="B55" s="1811"/>
      <c r="C55" s="1814"/>
      <c r="D55" s="803">
        <v>4429</v>
      </c>
      <c r="E55" s="800">
        <f t="shared" si="11"/>
        <v>2500</v>
      </c>
      <c r="F55" s="800">
        <f t="shared" si="12"/>
        <v>2500</v>
      </c>
      <c r="G55" s="800">
        <f t="shared" si="13"/>
        <v>2500</v>
      </c>
      <c r="H55" s="800"/>
      <c r="I55" s="800">
        <v>2500</v>
      </c>
      <c r="J55" s="800"/>
      <c r="K55" s="800"/>
      <c r="L55" s="801"/>
    </row>
    <row r="56" spans="1:13" ht="12.75">
      <c r="A56" s="1781"/>
      <c r="B56" s="1811"/>
      <c r="C56" s="1814"/>
      <c r="D56" s="803">
        <v>4438</v>
      </c>
      <c r="E56" s="800">
        <f t="shared" si="11"/>
        <v>7500</v>
      </c>
      <c r="F56" s="800">
        <f t="shared" si="12"/>
        <v>7500</v>
      </c>
      <c r="G56" s="800">
        <f t="shared" si="13"/>
        <v>7500</v>
      </c>
      <c r="H56" s="800"/>
      <c r="I56" s="800">
        <v>7500</v>
      </c>
      <c r="J56" s="800"/>
      <c r="K56" s="800"/>
      <c r="L56" s="801"/>
    </row>
    <row r="57" spans="1:13" ht="12.75">
      <c r="A57" s="1781"/>
      <c r="B57" s="1811"/>
      <c r="C57" s="1814"/>
      <c r="D57" s="803">
        <v>4439</v>
      </c>
      <c r="E57" s="800">
        <f t="shared" si="11"/>
        <v>2500</v>
      </c>
      <c r="F57" s="800">
        <f t="shared" si="12"/>
        <v>2500</v>
      </c>
      <c r="G57" s="800">
        <f t="shared" si="13"/>
        <v>2500</v>
      </c>
      <c r="H57" s="800"/>
      <c r="I57" s="800">
        <v>2500</v>
      </c>
      <c r="J57" s="800"/>
      <c r="K57" s="800"/>
      <c r="L57" s="801"/>
    </row>
    <row r="58" spans="1:13" ht="12.75">
      <c r="A58" s="1781"/>
      <c r="B58" s="1811"/>
      <c r="C58" s="1814"/>
      <c r="D58" s="803">
        <v>4708</v>
      </c>
      <c r="E58" s="800">
        <f t="shared" si="11"/>
        <v>55700</v>
      </c>
      <c r="F58" s="800">
        <f t="shared" si="12"/>
        <v>55700</v>
      </c>
      <c r="G58" s="800">
        <f t="shared" si="13"/>
        <v>55700</v>
      </c>
      <c r="H58" s="800"/>
      <c r="I58" s="800">
        <v>55700</v>
      </c>
      <c r="J58" s="800"/>
      <c r="K58" s="800"/>
      <c r="L58" s="801"/>
    </row>
    <row r="59" spans="1:13" ht="12.75">
      <c r="A59" s="1781"/>
      <c r="B59" s="1811"/>
      <c r="C59" s="1814"/>
      <c r="D59" s="803">
        <v>4709</v>
      </c>
      <c r="E59" s="800">
        <f t="shared" si="11"/>
        <v>19300</v>
      </c>
      <c r="F59" s="800">
        <f t="shared" si="12"/>
        <v>19300</v>
      </c>
      <c r="G59" s="800">
        <f t="shared" si="13"/>
        <v>19300</v>
      </c>
      <c r="H59" s="800"/>
      <c r="I59" s="800">
        <v>19300</v>
      </c>
      <c r="J59" s="800"/>
      <c r="K59" s="800"/>
      <c r="L59" s="801"/>
    </row>
    <row r="60" spans="1:13" ht="12.75">
      <c r="A60" s="1781"/>
      <c r="B60" s="1811"/>
      <c r="C60" s="1814"/>
      <c r="D60" s="803">
        <v>6068</v>
      </c>
      <c r="E60" s="800">
        <f t="shared" si="11"/>
        <v>210000</v>
      </c>
      <c r="F60" s="800"/>
      <c r="G60" s="800"/>
      <c r="H60" s="800"/>
      <c r="I60" s="800"/>
      <c r="J60" s="800"/>
      <c r="K60" s="800"/>
      <c r="L60" s="801">
        <v>210000</v>
      </c>
      <c r="M60" s="1093"/>
    </row>
    <row r="61" spans="1:13" ht="12.75">
      <c r="A61" s="1781"/>
      <c r="B61" s="1812"/>
      <c r="C61" s="1815"/>
      <c r="D61" s="803">
        <v>6069</v>
      </c>
      <c r="E61" s="800">
        <f t="shared" si="11"/>
        <v>70000</v>
      </c>
      <c r="F61" s="800"/>
      <c r="G61" s="800"/>
      <c r="H61" s="800"/>
      <c r="I61" s="800"/>
      <c r="J61" s="800"/>
      <c r="K61" s="800"/>
      <c r="L61" s="801">
        <v>70000</v>
      </c>
      <c r="M61" s="1093"/>
    </row>
    <row r="62" spans="1:13" ht="28.5" customHeight="1">
      <c r="A62" s="1782"/>
      <c r="B62" s="805" t="s">
        <v>11</v>
      </c>
      <c r="C62" s="784" t="s">
        <v>332</v>
      </c>
      <c r="D62" s="784">
        <v>4590</v>
      </c>
      <c r="E62" s="797">
        <f>SUM(F62,L62)</f>
        <v>15000</v>
      </c>
      <c r="F62" s="797">
        <f>SUM(G62,J62,K62)</f>
        <v>15000</v>
      </c>
      <c r="G62" s="797">
        <f>SUM(H62:I62)</f>
        <v>15000</v>
      </c>
      <c r="H62" s="797"/>
      <c r="I62" s="797">
        <v>15000</v>
      </c>
      <c r="J62" s="797"/>
      <c r="K62" s="797"/>
      <c r="L62" s="798"/>
    </row>
    <row r="63" spans="1:13" ht="30.75" customHeight="1">
      <c r="A63" s="1773" t="s">
        <v>16</v>
      </c>
      <c r="B63" s="1806" t="s">
        <v>733</v>
      </c>
      <c r="C63" s="1806"/>
      <c r="D63" s="806"/>
      <c r="E63" s="807">
        <f>SUM(E64:E65)</f>
        <v>57472000</v>
      </c>
      <c r="F63" s="807">
        <f>SUM(F64:F65)</f>
        <v>57472000</v>
      </c>
      <c r="G63" s="807">
        <f>SUM(G64:G65)</f>
        <v>72000</v>
      </c>
      <c r="H63" s="807"/>
      <c r="I63" s="807">
        <f>SUM(I64:I65)</f>
        <v>72000</v>
      </c>
      <c r="J63" s="807">
        <f>SUM(J64)</f>
        <v>57400000</v>
      </c>
      <c r="K63" s="807"/>
      <c r="L63" s="808"/>
    </row>
    <row r="64" spans="1:13" ht="27.75" customHeight="1">
      <c r="A64" s="1781"/>
      <c r="B64" s="805" t="s">
        <v>17</v>
      </c>
      <c r="C64" s="784" t="s">
        <v>373</v>
      </c>
      <c r="D64" s="784">
        <v>2630</v>
      </c>
      <c r="E64" s="797">
        <f>SUM(F64,L64)</f>
        <v>57400000</v>
      </c>
      <c r="F64" s="797">
        <f t="shared" ref="F64:F77" si="14">SUM(G64,J64,K64)</f>
        <v>57400000</v>
      </c>
      <c r="G64" s="797"/>
      <c r="H64" s="797"/>
      <c r="I64" s="797"/>
      <c r="J64" s="797">
        <v>57400000</v>
      </c>
      <c r="K64" s="797"/>
      <c r="L64" s="798"/>
    </row>
    <row r="65" spans="1:13" ht="27.75" customHeight="1">
      <c r="A65" s="1781"/>
      <c r="B65" s="805" t="s">
        <v>386</v>
      </c>
      <c r="C65" s="784" t="s">
        <v>332</v>
      </c>
      <c r="D65" s="784">
        <v>4300</v>
      </c>
      <c r="E65" s="797">
        <f>SUM(F65,L65)</f>
        <v>72000</v>
      </c>
      <c r="F65" s="797">
        <f t="shared" si="14"/>
        <v>72000</v>
      </c>
      <c r="G65" s="797">
        <f>SUM(H65:I65)</f>
        <v>72000</v>
      </c>
      <c r="H65" s="797"/>
      <c r="I65" s="797">
        <v>72000</v>
      </c>
      <c r="J65" s="797"/>
      <c r="K65" s="797"/>
      <c r="L65" s="798"/>
    </row>
    <row r="66" spans="1:13" ht="29.25" customHeight="1">
      <c r="A66" s="1773" t="s">
        <v>401</v>
      </c>
      <c r="B66" s="1808" t="s">
        <v>763</v>
      </c>
      <c r="C66" s="1808"/>
      <c r="D66" s="809"/>
      <c r="E66" s="807">
        <f>F66+L66</f>
        <v>423000</v>
      </c>
      <c r="F66" s="807">
        <f t="shared" si="14"/>
        <v>418000</v>
      </c>
      <c r="G66" s="807">
        <f>SUM(H66:I66)</f>
        <v>418000</v>
      </c>
      <c r="H66" s="807"/>
      <c r="I66" s="807">
        <f>SUM(I67,I68,I78,I79)</f>
        <v>418000</v>
      </c>
      <c r="J66" s="807"/>
      <c r="K66" s="807"/>
      <c r="L66" s="808">
        <f t="shared" ref="L66" si="15">SUM(L67,L68,L78,L79)</f>
        <v>5000</v>
      </c>
    </row>
    <row r="67" spans="1:13" ht="29.25" customHeight="1">
      <c r="A67" s="1781"/>
      <c r="B67" s="805" t="s">
        <v>407</v>
      </c>
      <c r="C67" s="784" t="s">
        <v>408</v>
      </c>
      <c r="D67" s="784">
        <v>4390</v>
      </c>
      <c r="E67" s="797">
        <f>F67+L67</f>
        <v>5000</v>
      </c>
      <c r="F67" s="797">
        <f t="shared" si="14"/>
        <v>5000</v>
      </c>
      <c r="G67" s="797">
        <f>SUM(H67:I67)</f>
        <v>5000</v>
      </c>
      <c r="H67" s="797"/>
      <c r="I67" s="797">
        <v>5000</v>
      </c>
      <c r="J67" s="797"/>
      <c r="K67" s="797"/>
      <c r="L67" s="798"/>
    </row>
    <row r="68" spans="1:13" ht="27" customHeight="1">
      <c r="A68" s="1781"/>
      <c r="B68" s="1810" t="s">
        <v>409</v>
      </c>
      <c r="C68" s="1813" t="s">
        <v>882</v>
      </c>
      <c r="D68" s="784" t="s">
        <v>880</v>
      </c>
      <c r="E68" s="797">
        <f>F68+L68</f>
        <v>226000</v>
      </c>
      <c r="F68" s="797">
        <f t="shared" si="14"/>
        <v>226000</v>
      </c>
      <c r="G68" s="797">
        <f>SUM(H68:I68)</f>
        <v>226000</v>
      </c>
      <c r="H68" s="797"/>
      <c r="I68" s="797">
        <f>SUM(I69:I77)</f>
        <v>226000</v>
      </c>
      <c r="J68" s="797"/>
      <c r="K68" s="797"/>
      <c r="L68" s="798"/>
    </row>
    <row r="69" spans="1:13" ht="12.75">
      <c r="A69" s="1781"/>
      <c r="B69" s="1811"/>
      <c r="C69" s="1814"/>
      <c r="D69" s="803">
        <v>4210</v>
      </c>
      <c r="E69" s="800">
        <f>SUM(F69,L69)</f>
        <v>28700</v>
      </c>
      <c r="F69" s="800">
        <f t="shared" si="14"/>
        <v>28700</v>
      </c>
      <c r="G69" s="800">
        <f>SUM(H69:I69)</f>
        <v>28700</v>
      </c>
      <c r="H69" s="800"/>
      <c r="I69" s="800">
        <v>28700</v>
      </c>
      <c r="J69" s="800"/>
      <c r="K69" s="800"/>
      <c r="L69" s="801"/>
      <c r="M69" s="768"/>
    </row>
    <row r="70" spans="1:13" ht="12.75">
      <c r="A70" s="1781"/>
      <c r="B70" s="1811"/>
      <c r="C70" s="1814"/>
      <c r="D70" s="803">
        <v>4260</v>
      </c>
      <c r="E70" s="800">
        <f t="shared" ref="E70:E86" si="16">SUM(F70,L70)</f>
        <v>19000</v>
      </c>
      <c r="F70" s="800">
        <f t="shared" si="14"/>
        <v>19000</v>
      </c>
      <c r="G70" s="800">
        <f t="shared" ref="G70:G77" si="17">SUM(H70:I70)</f>
        <v>19000</v>
      </c>
      <c r="H70" s="800"/>
      <c r="I70" s="800">
        <v>19000</v>
      </c>
      <c r="J70" s="800"/>
      <c r="K70" s="800"/>
      <c r="L70" s="801"/>
      <c r="M70" s="768"/>
    </row>
    <row r="71" spans="1:13" ht="12.75">
      <c r="A71" s="1781"/>
      <c r="B71" s="1811"/>
      <c r="C71" s="1814"/>
      <c r="D71" s="803">
        <v>4270</v>
      </c>
      <c r="E71" s="800">
        <f t="shared" si="16"/>
        <v>5000</v>
      </c>
      <c r="F71" s="800">
        <f t="shared" si="14"/>
        <v>5000</v>
      </c>
      <c r="G71" s="800">
        <f t="shared" si="17"/>
        <v>5000</v>
      </c>
      <c r="H71" s="800"/>
      <c r="I71" s="800">
        <v>5000</v>
      </c>
      <c r="J71" s="800"/>
      <c r="K71" s="800"/>
      <c r="L71" s="801"/>
      <c r="M71" s="768"/>
    </row>
    <row r="72" spans="1:13" ht="12.75">
      <c r="A72" s="1781"/>
      <c r="B72" s="1811"/>
      <c r="C72" s="1814"/>
      <c r="D72" s="803">
        <v>4300</v>
      </c>
      <c r="E72" s="800">
        <f t="shared" si="16"/>
        <v>130000</v>
      </c>
      <c r="F72" s="800">
        <f t="shared" si="14"/>
        <v>130000</v>
      </c>
      <c r="G72" s="800">
        <f t="shared" si="17"/>
        <v>130000</v>
      </c>
      <c r="H72" s="800"/>
      <c r="I72" s="800">
        <v>130000</v>
      </c>
      <c r="J72" s="800"/>
      <c r="K72" s="800"/>
      <c r="L72" s="801"/>
      <c r="M72" s="768"/>
    </row>
    <row r="73" spans="1:13" ht="12.75">
      <c r="A73" s="1781"/>
      <c r="B73" s="1811"/>
      <c r="C73" s="1814"/>
      <c r="D73" s="803">
        <v>4350</v>
      </c>
      <c r="E73" s="800">
        <f t="shared" si="16"/>
        <v>2000</v>
      </c>
      <c r="F73" s="800">
        <f t="shared" si="14"/>
        <v>2000</v>
      </c>
      <c r="G73" s="800">
        <f t="shared" si="17"/>
        <v>2000</v>
      </c>
      <c r="H73" s="800"/>
      <c r="I73" s="800">
        <v>2000</v>
      </c>
      <c r="J73" s="800"/>
      <c r="K73" s="800"/>
      <c r="L73" s="801"/>
      <c r="M73" s="768"/>
    </row>
    <row r="74" spans="1:13" ht="12.75">
      <c r="A74" s="1781"/>
      <c r="B74" s="1811"/>
      <c r="C74" s="1814"/>
      <c r="D74" s="803">
        <v>4370</v>
      </c>
      <c r="E74" s="800">
        <f t="shared" si="16"/>
        <v>1000</v>
      </c>
      <c r="F74" s="800">
        <f t="shared" si="14"/>
        <v>1000</v>
      </c>
      <c r="G74" s="800">
        <f t="shared" si="17"/>
        <v>1000</v>
      </c>
      <c r="H74" s="800"/>
      <c r="I74" s="800">
        <v>1000</v>
      </c>
      <c r="J74" s="800"/>
      <c r="K74" s="800"/>
      <c r="L74" s="801"/>
    </row>
    <row r="75" spans="1:13" ht="12.75">
      <c r="A75" s="1781"/>
      <c r="B75" s="1811"/>
      <c r="C75" s="1814"/>
      <c r="D75" s="803">
        <v>4400</v>
      </c>
      <c r="E75" s="800">
        <f t="shared" si="16"/>
        <v>32300</v>
      </c>
      <c r="F75" s="800">
        <f t="shared" si="14"/>
        <v>32300</v>
      </c>
      <c r="G75" s="800">
        <f t="shared" si="17"/>
        <v>32300</v>
      </c>
      <c r="H75" s="800"/>
      <c r="I75" s="800">
        <v>32300</v>
      </c>
      <c r="J75" s="800"/>
      <c r="K75" s="800"/>
      <c r="L75" s="801"/>
    </row>
    <row r="76" spans="1:13" ht="12.75">
      <c r="A76" s="1781"/>
      <c r="B76" s="1811"/>
      <c r="C76" s="1814"/>
      <c r="D76" s="803">
        <v>4410</v>
      </c>
      <c r="E76" s="800">
        <f t="shared" si="16"/>
        <v>3000</v>
      </c>
      <c r="F76" s="800">
        <f t="shared" si="14"/>
        <v>3000</v>
      </c>
      <c r="G76" s="800">
        <f t="shared" si="17"/>
        <v>3000</v>
      </c>
      <c r="H76" s="800"/>
      <c r="I76" s="800">
        <v>3000</v>
      </c>
      <c r="J76" s="800"/>
      <c r="K76" s="800"/>
      <c r="L76" s="801"/>
    </row>
    <row r="77" spans="1:13" ht="12.75">
      <c r="A77" s="1781"/>
      <c r="B77" s="1811"/>
      <c r="C77" s="1814"/>
      <c r="D77" s="803">
        <v>4700</v>
      </c>
      <c r="E77" s="800">
        <f t="shared" si="16"/>
        <v>5000</v>
      </c>
      <c r="F77" s="800">
        <f t="shared" si="14"/>
        <v>5000</v>
      </c>
      <c r="G77" s="800">
        <f t="shared" si="17"/>
        <v>5000</v>
      </c>
      <c r="H77" s="800"/>
      <c r="I77" s="800">
        <v>5000</v>
      </c>
      <c r="J77" s="800"/>
      <c r="K77" s="800"/>
      <c r="L77" s="801"/>
      <c r="M77" s="768"/>
    </row>
    <row r="78" spans="1:13" ht="30" customHeight="1">
      <c r="A78" s="1781"/>
      <c r="B78" s="810" t="s">
        <v>413</v>
      </c>
      <c r="C78" s="811" t="s">
        <v>414</v>
      </c>
      <c r="D78" s="784">
        <v>4300</v>
      </c>
      <c r="E78" s="797">
        <f t="shared" si="16"/>
        <v>87000</v>
      </c>
      <c r="F78" s="797">
        <f>SUM(G78,J78,K78)</f>
        <v>87000</v>
      </c>
      <c r="G78" s="797">
        <f>SUM(H78:I78)</f>
        <v>87000</v>
      </c>
      <c r="H78" s="797"/>
      <c r="I78" s="797">
        <v>87000</v>
      </c>
      <c r="J78" s="797"/>
      <c r="K78" s="797"/>
      <c r="L78" s="798"/>
    </row>
    <row r="79" spans="1:13" ht="27.75" customHeight="1">
      <c r="A79" s="1781"/>
      <c r="B79" s="1810" t="s">
        <v>415</v>
      </c>
      <c r="C79" s="1813" t="s">
        <v>332</v>
      </c>
      <c r="D79" s="784" t="s">
        <v>880</v>
      </c>
      <c r="E79" s="797">
        <f>SUM(F79,L79)</f>
        <v>105000</v>
      </c>
      <c r="F79" s="797">
        <f>SUM(G79,J79,K79)</f>
        <v>100000</v>
      </c>
      <c r="G79" s="797">
        <f>SUM(H79:I79)</f>
        <v>100000</v>
      </c>
      <c r="H79" s="797"/>
      <c r="I79" s="797">
        <f>SUM(I80:I81)</f>
        <v>100000</v>
      </c>
      <c r="J79" s="797"/>
      <c r="K79" s="797"/>
      <c r="L79" s="798">
        <f>SUM(L80:L81)</f>
        <v>5000</v>
      </c>
    </row>
    <row r="80" spans="1:13" ht="12.75">
      <c r="A80" s="1781"/>
      <c r="B80" s="1811"/>
      <c r="C80" s="1814"/>
      <c r="D80" s="803">
        <v>4270</v>
      </c>
      <c r="E80" s="800">
        <f t="shared" si="16"/>
        <v>100000</v>
      </c>
      <c r="F80" s="800">
        <f>SUM(G80,J80,K80)</f>
        <v>100000</v>
      </c>
      <c r="G80" s="800">
        <f>H80+I80</f>
        <v>100000</v>
      </c>
      <c r="H80" s="800"/>
      <c r="I80" s="800">
        <v>100000</v>
      </c>
      <c r="J80" s="800"/>
      <c r="K80" s="800"/>
      <c r="L80" s="801"/>
    </row>
    <row r="81" spans="1:13" ht="12.75">
      <c r="A81" s="1782"/>
      <c r="B81" s="1812"/>
      <c r="C81" s="1815"/>
      <c r="D81" s="803">
        <v>6050</v>
      </c>
      <c r="E81" s="800">
        <f t="shared" si="16"/>
        <v>5000</v>
      </c>
      <c r="F81" s="800"/>
      <c r="G81" s="800"/>
      <c r="H81" s="800"/>
      <c r="I81" s="800"/>
      <c r="J81" s="800"/>
      <c r="K81" s="800"/>
      <c r="L81" s="801">
        <v>5000</v>
      </c>
    </row>
    <row r="82" spans="1:13" ht="29.25" customHeight="1">
      <c r="A82" s="1773" t="s">
        <v>7</v>
      </c>
      <c r="B82" s="1806" t="s">
        <v>42</v>
      </c>
      <c r="C82" s="1806"/>
      <c r="D82" s="806"/>
      <c r="E82" s="807">
        <f t="shared" si="16"/>
        <v>743000</v>
      </c>
      <c r="F82" s="807">
        <f>SUM(G82,J82,K82)</f>
        <v>743000</v>
      </c>
      <c r="G82" s="807">
        <f>SUM(H82:I82)</f>
        <v>743000</v>
      </c>
      <c r="H82" s="807">
        <f>SUM(H83,H87)</f>
        <v>733000</v>
      </c>
      <c r="I82" s="807">
        <f t="shared" ref="I82" si="18">SUM(I83:I87)</f>
        <v>10000</v>
      </c>
      <c r="J82" s="807"/>
      <c r="K82" s="807"/>
      <c r="L82" s="808"/>
    </row>
    <row r="83" spans="1:13" s="814" customFormat="1" ht="23.25" customHeight="1">
      <c r="A83" s="1781"/>
      <c r="B83" s="1810" t="s">
        <v>432</v>
      </c>
      <c r="C83" s="1813" t="s">
        <v>433</v>
      </c>
      <c r="D83" s="784" t="s">
        <v>880</v>
      </c>
      <c r="E83" s="797">
        <f t="shared" si="16"/>
        <v>723000</v>
      </c>
      <c r="F83" s="797">
        <f>SUM(G83,J83,K83)</f>
        <v>723000</v>
      </c>
      <c r="G83" s="797">
        <f>SUM(H83:I83)</f>
        <v>723000</v>
      </c>
      <c r="H83" s="797">
        <f>SUM(H84:H86)</f>
        <v>723000</v>
      </c>
      <c r="I83" s="797"/>
      <c r="J83" s="812"/>
      <c r="K83" s="812"/>
      <c r="L83" s="798"/>
      <c r="M83" s="813"/>
    </row>
    <row r="84" spans="1:13" s="814" customFormat="1" ht="12.75">
      <c r="A84" s="1781"/>
      <c r="B84" s="1811"/>
      <c r="C84" s="1814"/>
      <c r="D84" s="803">
        <v>4010</v>
      </c>
      <c r="E84" s="800">
        <f t="shared" si="16"/>
        <v>604313</v>
      </c>
      <c r="F84" s="800">
        <f>SUM(G84,J84,K84)</f>
        <v>604313</v>
      </c>
      <c r="G84" s="800">
        <f>SUM(H84:I84)</f>
        <v>604313</v>
      </c>
      <c r="H84" s="800">
        <v>604313</v>
      </c>
      <c r="I84" s="800"/>
      <c r="J84" s="815"/>
      <c r="K84" s="815"/>
      <c r="L84" s="801"/>
    </row>
    <row r="85" spans="1:13" s="814" customFormat="1" ht="12.75">
      <c r="A85" s="1781"/>
      <c r="B85" s="1811"/>
      <c r="C85" s="1814"/>
      <c r="D85" s="803">
        <v>4110</v>
      </c>
      <c r="E85" s="800">
        <f t="shared" si="16"/>
        <v>103881</v>
      </c>
      <c r="F85" s="800">
        <f t="shared" ref="F85:F86" si="19">SUM(G85,J85,K85)</f>
        <v>103881</v>
      </c>
      <c r="G85" s="800">
        <f t="shared" ref="G85:G86" si="20">SUM(H85:I85)</f>
        <v>103881</v>
      </c>
      <c r="H85" s="800">
        <v>103881</v>
      </c>
      <c r="I85" s="800"/>
      <c r="J85" s="815"/>
      <c r="K85" s="815"/>
      <c r="L85" s="801"/>
      <c r="M85" s="813"/>
    </row>
    <row r="86" spans="1:13" s="814" customFormat="1" ht="12.75">
      <c r="A86" s="1781"/>
      <c r="B86" s="1812"/>
      <c r="C86" s="1815"/>
      <c r="D86" s="803">
        <v>4120</v>
      </c>
      <c r="E86" s="800">
        <f t="shared" si="16"/>
        <v>14806</v>
      </c>
      <c r="F86" s="800">
        <f t="shared" si="19"/>
        <v>14806</v>
      </c>
      <c r="G86" s="800">
        <f t="shared" si="20"/>
        <v>14806</v>
      </c>
      <c r="H86" s="800">
        <v>14806</v>
      </c>
      <c r="I86" s="800"/>
      <c r="J86" s="815"/>
      <c r="K86" s="815"/>
      <c r="L86" s="801"/>
    </row>
    <row r="87" spans="1:13" ht="24" customHeight="1">
      <c r="A87" s="1781"/>
      <c r="B87" s="1810" t="s">
        <v>456</v>
      </c>
      <c r="C87" s="1813" t="s">
        <v>457</v>
      </c>
      <c r="D87" s="784" t="s">
        <v>880</v>
      </c>
      <c r="E87" s="797">
        <f>SUM(F87,L87)</f>
        <v>20000</v>
      </c>
      <c r="F87" s="797">
        <f>SUM(G87,J87,K87)</f>
        <v>20000</v>
      </c>
      <c r="G87" s="797">
        <f>SUM(H87:I87)</f>
        <v>20000</v>
      </c>
      <c r="H87" s="797">
        <f>SUM(H88:H92)</f>
        <v>10000</v>
      </c>
      <c r="I87" s="797">
        <f>SUM(I88:I92)</f>
        <v>10000</v>
      </c>
      <c r="J87" s="797"/>
      <c r="K87" s="797"/>
      <c r="L87" s="798"/>
    </row>
    <row r="88" spans="1:13" ht="12.75">
      <c r="A88" s="1781"/>
      <c r="B88" s="1811"/>
      <c r="C88" s="1814"/>
      <c r="D88" s="803">
        <v>4110</v>
      </c>
      <c r="E88" s="800">
        <f>SUM(F88,L88)</f>
        <v>700</v>
      </c>
      <c r="F88" s="800">
        <f>SUM(G88,J88,K88)</f>
        <v>700</v>
      </c>
      <c r="G88" s="800">
        <f>SUM(H88:I88)</f>
        <v>700</v>
      </c>
      <c r="H88" s="800">
        <v>700</v>
      </c>
      <c r="I88" s="800"/>
      <c r="J88" s="800"/>
      <c r="K88" s="800"/>
      <c r="L88" s="801"/>
    </row>
    <row r="89" spans="1:13" ht="12.75">
      <c r="A89" s="1781"/>
      <c r="B89" s="1811"/>
      <c r="C89" s="1814"/>
      <c r="D89" s="803">
        <v>4120</v>
      </c>
      <c r="E89" s="800">
        <f t="shared" ref="E89:E92" si="21">SUM(F89,L89)</f>
        <v>150</v>
      </c>
      <c r="F89" s="800">
        <f t="shared" ref="F89:F92" si="22">SUM(G89,J89,K89)</f>
        <v>150</v>
      </c>
      <c r="G89" s="800">
        <f t="shared" ref="G89:G92" si="23">SUM(H89:I89)</f>
        <v>150</v>
      </c>
      <c r="H89" s="800">
        <v>150</v>
      </c>
      <c r="I89" s="800"/>
      <c r="J89" s="800"/>
      <c r="K89" s="800"/>
      <c r="L89" s="801"/>
    </row>
    <row r="90" spans="1:13" ht="12.75">
      <c r="A90" s="1781"/>
      <c r="B90" s="1811"/>
      <c r="C90" s="1814"/>
      <c r="D90" s="803">
        <v>4170</v>
      </c>
      <c r="E90" s="800">
        <f t="shared" si="21"/>
        <v>9150</v>
      </c>
      <c r="F90" s="800">
        <f t="shared" si="22"/>
        <v>9150</v>
      </c>
      <c r="G90" s="800">
        <f t="shared" si="23"/>
        <v>9150</v>
      </c>
      <c r="H90" s="800">
        <v>9150</v>
      </c>
      <c r="I90" s="800"/>
      <c r="J90" s="800"/>
      <c r="K90" s="800"/>
      <c r="L90" s="801"/>
      <c r="M90" s="768"/>
    </row>
    <row r="91" spans="1:13" ht="12.75">
      <c r="A91" s="1781"/>
      <c r="B91" s="1811"/>
      <c r="C91" s="1814"/>
      <c r="D91" s="803">
        <v>4210</v>
      </c>
      <c r="E91" s="800">
        <f t="shared" si="21"/>
        <v>1500</v>
      </c>
      <c r="F91" s="800">
        <f t="shared" si="22"/>
        <v>1500</v>
      </c>
      <c r="G91" s="800">
        <f t="shared" si="23"/>
        <v>1500</v>
      </c>
      <c r="H91" s="800"/>
      <c r="I91" s="800">
        <v>1500</v>
      </c>
      <c r="J91" s="800"/>
      <c r="K91" s="800"/>
      <c r="L91" s="801"/>
    </row>
    <row r="92" spans="1:13" ht="12.75">
      <c r="A92" s="1782"/>
      <c r="B92" s="1812"/>
      <c r="C92" s="1815"/>
      <c r="D92" s="803">
        <v>4300</v>
      </c>
      <c r="E92" s="800">
        <f t="shared" si="21"/>
        <v>8500</v>
      </c>
      <c r="F92" s="800">
        <f t="shared" si="22"/>
        <v>8500</v>
      </c>
      <c r="G92" s="800">
        <f t="shared" si="23"/>
        <v>8500</v>
      </c>
      <c r="H92" s="800"/>
      <c r="I92" s="800">
        <v>8500</v>
      </c>
      <c r="J92" s="800"/>
      <c r="K92" s="800"/>
      <c r="L92" s="801"/>
      <c r="M92" s="768"/>
    </row>
    <row r="93" spans="1:13" ht="29.25" customHeight="1">
      <c r="A93" s="1804" t="s">
        <v>470</v>
      </c>
      <c r="B93" s="1806" t="s">
        <v>783</v>
      </c>
      <c r="C93" s="1806"/>
      <c r="D93" s="806"/>
      <c r="E93" s="807">
        <f>SUM(E94)</f>
        <v>3000</v>
      </c>
      <c r="F93" s="807">
        <f>SUM(F94)</f>
        <v>3000</v>
      </c>
      <c r="G93" s="807">
        <f>SUM(H93:I93)</f>
        <v>3000</v>
      </c>
      <c r="H93" s="807"/>
      <c r="I93" s="807">
        <f>SUM(I94)</f>
        <v>3000</v>
      </c>
      <c r="J93" s="807"/>
      <c r="K93" s="807"/>
      <c r="L93" s="808"/>
    </row>
    <row r="94" spans="1:13" ht="27" customHeight="1">
      <c r="A94" s="1805"/>
      <c r="B94" s="805" t="s">
        <v>472</v>
      </c>
      <c r="C94" s="784" t="s">
        <v>473</v>
      </c>
      <c r="D94" s="784">
        <v>4210</v>
      </c>
      <c r="E94" s="797">
        <f>SUM(F94,L94)</f>
        <v>3000</v>
      </c>
      <c r="F94" s="797">
        <f>SUM(G94,J94,K94)</f>
        <v>3000</v>
      </c>
      <c r="G94" s="797">
        <f>SUM(H94:I94)</f>
        <v>3000</v>
      </c>
      <c r="H94" s="797"/>
      <c r="I94" s="797">
        <v>3000</v>
      </c>
      <c r="J94" s="812"/>
      <c r="K94" s="812"/>
      <c r="L94" s="798"/>
    </row>
    <row r="95" spans="1:13" ht="27.75" customHeight="1">
      <c r="A95" s="1807" t="s">
        <v>25</v>
      </c>
      <c r="B95" s="1808" t="s">
        <v>870</v>
      </c>
      <c r="C95" s="1808"/>
      <c r="D95" s="809"/>
      <c r="E95" s="807">
        <f>SUM(E96:E97)</f>
        <v>40000</v>
      </c>
      <c r="F95" s="807">
        <f t="shared" ref="F95:L95" si="24">SUM(F96:F97)</f>
        <v>40000</v>
      </c>
      <c r="G95" s="807">
        <f>SUM(H95:I95)</f>
        <v>40000</v>
      </c>
      <c r="H95" s="807"/>
      <c r="I95" s="807">
        <f t="shared" si="24"/>
        <v>40000</v>
      </c>
      <c r="J95" s="807"/>
      <c r="K95" s="807"/>
      <c r="L95" s="808">
        <f t="shared" si="24"/>
        <v>0</v>
      </c>
    </row>
    <row r="96" spans="1:13" ht="6.75" hidden="1" customHeight="1">
      <c r="A96" s="1807"/>
      <c r="B96" s="816">
        <v>85141</v>
      </c>
      <c r="C96" s="816" t="s">
        <v>564</v>
      </c>
      <c r="D96" s="816">
        <v>6220</v>
      </c>
      <c r="E96" s="797">
        <f t="shared" ref="E96:E121" si="25">SUM(F96,L96)</f>
        <v>0</v>
      </c>
      <c r="F96" s="797"/>
      <c r="G96" s="797"/>
      <c r="H96" s="797"/>
      <c r="I96" s="797"/>
      <c r="J96" s="797"/>
      <c r="K96" s="797"/>
      <c r="L96" s="798">
        <v>0</v>
      </c>
    </row>
    <row r="97" spans="1:13" ht="55.5" customHeight="1">
      <c r="A97" s="1807"/>
      <c r="B97" s="805" t="s">
        <v>571</v>
      </c>
      <c r="C97" s="784" t="s">
        <v>820</v>
      </c>
      <c r="D97" s="784">
        <v>4130</v>
      </c>
      <c r="E97" s="797">
        <f t="shared" si="25"/>
        <v>40000</v>
      </c>
      <c r="F97" s="797">
        <f>SUM(G97,J97,K97)</f>
        <v>40000</v>
      </c>
      <c r="G97" s="797">
        <f>SUM(H97:I97)</f>
        <v>40000</v>
      </c>
      <c r="H97" s="797"/>
      <c r="I97" s="797">
        <v>40000</v>
      </c>
      <c r="J97" s="797"/>
      <c r="K97" s="797"/>
      <c r="L97" s="798"/>
    </row>
    <row r="98" spans="1:13" ht="25.5" customHeight="1">
      <c r="A98" s="1804" t="s">
        <v>26</v>
      </c>
      <c r="B98" s="1806" t="s">
        <v>821</v>
      </c>
      <c r="C98" s="1806"/>
      <c r="D98" s="806"/>
      <c r="E98" s="807">
        <f t="shared" si="25"/>
        <v>2339000</v>
      </c>
      <c r="F98" s="807">
        <f>SUM(G98,J98,K98)</f>
        <v>2339000</v>
      </c>
      <c r="G98" s="807">
        <f>SUM(H98:I98)</f>
        <v>2334720</v>
      </c>
      <c r="H98" s="807">
        <f>SUM(H99,H122)</f>
        <v>1576234</v>
      </c>
      <c r="I98" s="807">
        <f>SUM(I99,I122)</f>
        <v>758486</v>
      </c>
      <c r="J98" s="807"/>
      <c r="K98" s="807">
        <f>SUM(K99,K122)</f>
        <v>4280</v>
      </c>
      <c r="L98" s="808"/>
    </row>
    <row r="99" spans="1:13" ht="31.5" customHeight="1">
      <c r="A99" s="1809"/>
      <c r="B99" s="1810" t="s">
        <v>579</v>
      </c>
      <c r="C99" s="1813" t="s">
        <v>822</v>
      </c>
      <c r="D99" s="784" t="s">
        <v>880</v>
      </c>
      <c r="E99" s="797">
        <f t="shared" si="25"/>
        <v>1639000</v>
      </c>
      <c r="F99" s="797">
        <f>SUM(G99,J99,K99)</f>
        <v>1639000</v>
      </c>
      <c r="G99" s="797">
        <f>SUM(H99:I99)</f>
        <v>1635850</v>
      </c>
      <c r="H99" s="797">
        <f>SUM(H100:H121)</f>
        <v>1051030</v>
      </c>
      <c r="I99" s="797">
        <f t="shared" ref="I99:L99" si="26">SUM(I100:I121)</f>
        <v>584820</v>
      </c>
      <c r="J99" s="797">
        <f t="shared" si="26"/>
        <v>0</v>
      </c>
      <c r="K99" s="797">
        <f t="shared" si="26"/>
        <v>3150</v>
      </c>
      <c r="L99" s="798">
        <f t="shared" si="26"/>
        <v>0</v>
      </c>
      <c r="M99" s="768"/>
    </row>
    <row r="100" spans="1:13" ht="12.75">
      <c r="A100" s="1809"/>
      <c r="B100" s="1811"/>
      <c r="C100" s="1814"/>
      <c r="D100" s="803">
        <v>3020</v>
      </c>
      <c r="E100" s="800">
        <f t="shared" si="25"/>
        <v>3150</v>
      </c>
      <c r="F100" s="800">
        <f>SUM(G100,J100,K100)</f>
        <v>3150</v>
      </c>
      <c r="G100" s="800">
        <f>SUM(H100:I100)</f>
        <v>0</v>
      </c>
      <c r="H100" s="800"/>
      <c r="I100" s="800"/>
      <c r="J100" s="800"/>
      <c r="K100" s="800">
        <v>3150</v>
      </c>
      <c r="L100" s="801"/>
      <c r="M100" s="768"/>
    </row>
    <row r="101" spans="1:13" ht="12.75">
      <c r="A101" s="1809"/>
      <c r="B101" s="1811"/>
      <c r="C101" s="1814"/>
      <c r="D101" s="803">
        <v>4010</v>
      </c>
      <c r="E101" s="800">
        <f t="shared" si="25"/>
        <v>734414</v>
      </c>
      <c r="F101" s="800">
        <f>SUM(G101,J101,K101)</f>
        <v>734414</v>
      </c>
      <c r="G101" s="800">
        <f>SUM(H101:I101)</f>
        <v>734414</v>
      </c>
      <c r="H101" s="800">
        <v>734414</v>
      </c>
      <c r="I101" s="800"/>
      <c r="J101" s="800"/>
      <c r="K101" s="800"/>
      <c r="L101" s="801"/>
    </row>
    <row r="102" spans="1:13" ht="12.75">
      <c r="A102" s="1809"/>
      <c r="B102" s="1811"/>
      <c r="C102" s="1814"/>
      <c r="D102" s="803">
        <v>4040</v>
      </c>
      <c r="E102" s="800">
        <f t="shared" si="25"/>
        <v>107154</v>
      </c>
      <c r="F102" s="800">
        <f t="shared" ref="F102:F121" si="27">SUM(G102,J102,K102)</f>
        <v>107154</v>
      </c>
      <c r="G102" s="800">
        <f t="shared" ref="G102:G121" si="28">SUM(H102:I102)</f>
        <v>107154</v>
      </c>
      <c r="H102" s="800">
        <v>107154</v>
      </c>
      <c r="I102" s="800"/>
      <c r="J102" s="800"/>
      <c r="K102" s="800"/>
      <c r="L102" s="801"/>
    </row>
    <row r="103" spans="1:13" ht="12.75">
      <c r="A103" s="1809"/>
      <c r="B103" s="1811"/>
      <c r="C103" s="1814"/>
      <c r="D103" s="803">
        <v>4110</v>
      </c>
      <c r="E103" s="800">
        <f t="shared" si="25"/>
        <v>151063</v>
      </c>
      <c r="F103" s="800">
        <f t="shared" si="27"/>
        <v>151063</v>
      </c>
      <c r="G103" s="800">
        <f t="shared" si="28"/>
        <v>151063</v>
      </c>
      <c r="H103" s="800">
        <v>151063</v>
      </c>
      <c r="I103" s="800"/>
      <c r="J103" s="800"/>
      <c r="K103" s="800"/>
      <c r="L103" s="801"/>
    </row>
    <row r="104" spans="1:13" ht="12.75">
      <c r="A104" s="1809"/>
      <c r="B104" s="1811"/>
      <c r="C104" s="1814"/>
      <c r="D104" s="803">
        <v>4120</v>
      </c>
      <c r="E104" s="800">
        <f t="shared" si="25"/>
        <v>21199</v>
      </c>
      <c r="F104" s="800">
        <f t="shared" si="27"/>
        <v>21199</v>
      </c>
      <c r="G104" s="800">
        <f t="shared" si="28"/>
        <v>21199</v>
      </c>
      <c r="H104" s="800">
        <v>21199</v>
      </c>
      <c r="I104" s="800"/>
      <c r="J104" s="800"/>
      <c r="K104" s="800"/>
      <c r="L104" s="801"/>
    </row>
    <row r="105" spans="1:13" ht="12.75">
      <c r="A105" s="1809"/>
      <c r="B105" s="1811"/>
      <c r="C105" s="1814"/>
      <c r="D105" s="803">
        <v>4170</v>
      </c>
      <c r="E105" s="800">
        <f t="shared" si="25"/>
        <v>37200</v>
      </c>
      <c r="F105" s="800">
        <f t="shared" si="27"/>
        <v>37200</v>
      </c>
      <c r="G105" s="800">
        <f t="shared" si="28"/>
        <v>37200</v>
      </c>
      <c r="H105" s="800">
        <v>37200</v>
      </c>
      <c r="I105" s="800"/>
      <c r="J105" s="800"/>
      <c r="K105" s="800"/>
      <c r="L105" s="801"/>
    </row>
    <row r="106" spans="1:13" ht="12.75">
      <c r="A106" s="1809"/>
      <c r="B106" s="1811"/>
      <c r="C106" s="1814"/>
      <c r="D106" s="803">
        <v>4140</v>
      </c>
      <c r="E106" s="800">
        <f t="shared" si="25"/>
        <v>9500</v>
      </c>
      <c r="F106" s="800">
        <f t="shared" si="27"/>
        <v>9500</v>
      </c>
      <c r="G106" s="800">
        <f t="shared" si="28"/>
        <v>9500</v>
      </c>
      <c r="H106" s="800"/>
      <c r="I106" s="800">
        <v>9500</v>
      </c>
      <c r="J106" s="800"/>
      <c r="K106" s="800"/>
      <c r="L106" s="801"/>
    </row>
    <row r="107" spans="1:13" ht="12.75">
      <c r="A107" s="1809"/>
      <c r="B107" s="1811"/>
      <c r="C107" s="1814"/>
      <c r="D107" s="803">
        <v>4210</v>
      </c>
      <c r="E107" s="800">
        <f t="shared" si="25"/>
        <v>17600</v>
      </c>
      <c r="F107" s="800">
        <f t="shared" si="27"/>
        <v>17600</v>
      </c>
      <c r="G107" s="800">
        <f t="shared" si="28"/>
        <v>17600</v>
      </c>
      <c r="H107" s="800"/>
      <c r="I107" s="800">
        <v>17600</v>
      </c>
      <c r="J107" s="800"/>
      <c r="K107" s="800"/>
      <c r="L107" s="801"/>
    </row>
    <row r="108" spans="1:13" ht="12.75">
      <c r="A108" s="1809"/>
      <c r="B108" s="1811"/>
      <c r="C108" s="1814"/>
      <c r="D108" s="803">
        <v>4260</v>
      </c>
      <c r="E108" s="800">
        <f t="shared" si="25"/>
        <v>10679</v>
      </c>
      <c r="F108" s="800">
        <f t="shared" si="27"/>
        <v>10679</v>
      </c>
      <c r="G108" s="800">
        <f t="shared" si="28"/>
        <v>10679</v>
      </c>
      <c r="H108" s="800"/>
      <c r="I108" s="800">
        <v>10679</v>
      </c>
      <c r="J108" s="800"/>
      <c r="K108" s="800"/>
      <c r="L108" s="801"/>
    </row>
    <row r="109" spans="1:13" ht="12.75">
      <c r="A109" s="1809"/>
      <c r="B109" s="1811"/>
      <c r="C109" s="1814"/>
      <c r="D109" s="803">
        <v>4270</v>
      </c>
      <c r="E109" s="800">
        <f t="shared" si="25"/>
        <v>3600</v>
      </c>
      <c r="F109" s="800">
        <f t="shared" si="27"/>
        <v>3600</v>
      </c>
      <c r="G109" s="800">
        <f t="shared" si="28"/>
        <v>3600</v>
      </c>
      <c r="H109" s="800"/>
      <c r="I109" s="800">
        <v>3600</v>
      </c>
      <c r="J109" s="800"/>
      <c r="K109" s="800"/>
      <c r="L109" s="801"/>
    </row>
    <row r="110" spans="1:13" ht="12.75">
      <c r="A110" s="1809"/>
      <c r="B110" s="1811"/>
      <c r="C110" s="1814"/>
      <c r="D110" s="803">
        <v>4280</v>
      </c>
      <c r="E110" s="800">
        <f t="shared" si="25"/>
        <v>3000</v>
      </c>
      <c r="F110" s="800">
        <f t="shared" si="27"/>
        <v>3000</v>
      </c>
      <c r="G110" s="800">
        <f t="shared" si="28"/>
        <v>3000</v>
      </c>
      <c r="H110" s="800"/>
      <c r="I110" s="800">
        <v>3000</v>
      </c>
      <c r="J110" s="800"/>
      <c r="K110" s="800"/>
      <c r="L110" s="801"/>
    </row>
    <row r="111" spans="1:13" ht="12.75">
      <c r="A111" s="1809"/>
      <c r="B111" s="1811"/>
      <c r="C111" s="1814"/>
      <c r="D111" s="803">
        <v>4300</v>
      </c>
      <c r="E111" s="800">
        <f t="shared" si="25"/>
        <v>456581</v>
      </c>
      <c r="F111" s="800">
        <f t="shared" si="27"/>
        <v>456581</v>
      </c>
      <c r="G111" s="800">
        <f t="shared" si="28"/>
        <v>456581</v>
      </c>
      <c r="H111" s="800"/>
      <c r="I111" s="800">
        <v>456581</v>
      </c>
      <c r="J111" s="800"/>
      <c r="K111" s="800"/>
      <c r="L111" s="801"/>
    </row>
    <row r="112" spans="1:13" ht="12.75">
      <c r="A112" s="1809"/>
      <c r="B112" s="1811"/>
      <c r="C112" s="1814"/>
      <c r="D112" s="803">
        <v>4350</v>
      </c>
      <c r="E112" s="800">
        <f t="shared" si="25"/>
        <v>5000</v>
      </c>
      <c r="F112" s="800">
        <f t="shared" si="27"/>
        <v>5000</v>
      </c>
      <c r="G112" s="800">
        <f t="shared" si="28"/>
        <v>5000</v>
      </c>
      <c r="H112" s="800"/>
      <c r="I112" s="800">
        <v>5000</v>
      </c>
      <c r="J112" s="800"/>
      <c r="K112" s="800"/>
      <c r="L112" s="801"/>
    </row>
    <row r="113" spans="1:13" ht="12.75">
      <c r="A113" s="1809"/>
      <c r="B113" s="1811"/>
      <c r="C113" s="1814"/>
      <c r="D113" s="803">
        <v>4370</v>
      </c>
      <c r="E113" s="800">
        <f t="shared" si="25"/>
        <v>6000</v>
      </c>
      <c r="F113" s="800">
        <f t="shared" si="27"/>
        <v>6000</v>
      </c>
      <c r="G113" s="800">
        <f t="shared" si="28"/>
        <v>6000</v>
      </c>
      <c r="H113" s="800"/>
      <c r="I113" s="800">
        <v>6000</v>
      </c>
      <c r="J113" s="800"/>
      <c r="K113" s="800"/>
      <c r="L113" s="801"/>
    </row>
    <row r="114" spans="1:13" ht="12.75">
      <c r="A114" s="1809"/>
      <c r="B114" s="1811"/>
      <c r="C114" s="1814"/>
      <c r="D114" s="803">
        <v>4380</v>
      </c>
      <c r="E114" s="800">
        <f t="shared" si="25"/>
        <v>10000</v>
      </c>
      <c r="F114" s="800">
        <f t="shared" si="27"/>
        <v>10000</v>
      </c>
      <c r="G114" s="800">
        <f t="shared" si="28"/>
        <v>10000</v>
      </c>
      <c r="H114" s="800"/>
      <c r="I114" s="800">
        <v>10000</v>
      </c>
      <c r="J114" s="800"/>
      <c r="K114" s="800"/>
      <c r="L114" s="801"/>
    </row>
    <row r="115" spans="1:13" ht="12.75">
      <c r="A115" s="1809"/>
      <c r="B115" s="1811"/>
      <c r="C115" s="1814"/>
      <c r="D115" s="803">
        <v>4400</v>
      </c>
      <c r="E115" s="800">
        <f t="shared" si="25"/>
        <v>16960</v>
      </c>
      <c r="F115" s="800">
        <f t="shared" si="27"/>
        <v>16960</v>
      </c>
      <c r="G115" s="800">
        <f t="shared" si="28"/>
        <v>16960</v>
      </c>
      <c r="H115" s="800"/>
      <c r="I115" s="800">
        <v>16960</v>
      </c>
      <c r="J115" s="800"/>
      <c r="K115" s="800"/>
      <c r="L115" s="801"/>
    </row>
    <row r="116" spans="1:13" ht="12.75">
      <c r="A116" s="1809"/>
      <c r="B116" s="1811"/>
      <c r="C116" s="1814"/>
      <c r="D116" s="803">
        <v>4410</v>
      </c>
      <c r="E116" s="800">
        <f t="shared" si="25"/>
        <v>1200</v>
      </c>
      <c r="F116" s="800">
        <f t="shared" si="27"/>
        <v>1200</v>
      </c>
      <c r="G116" s="800">
        <f t="shared" si="28"/>
        <v>1200</v>
      </c>
      <c r="H116" s="800"/>
      <c r="I116" s="800">
        <v>1200</v>
      </c>
      <c r="J116" s="800"/>
      <c r="K116" s="800"/>
      <c r="L116" s="801"/>
    </row>
    <row r="117" spans="1:13" ht="12.75">
      <c r="A117" s="1809"/>
      <c r="B117" s="1811"/>
      <c r="C117" s="1814"/>
      <c r="D117" s="803">
        <v>4440</v>
      </c>
      <c r="E117" s="800">
        <f t="shared" si="25"/>
        <v>39680</v>
      </c>
      <c r="F117" s="800">
        <f t="shared" si="27"/>
        <v>39680</v>
      </c>
      <c r="G117" s="800">
        <f t="shared" si="28"/>
        <v>39680</v>
      </c>
      <c r="H117" s="800"/>
      <c r="I117" s="800">
        <v>39680</v>
      </c>
      <c r="J117" s="800"/>
      <c r="K117" s="800"/>
      <c r="L117" s="801"/>
    </row>
    <row r="118" spans="1:13" ht="12.75">
      <c r="A118" s="1809"/>
      <c r="B118" s="1811"/>
      <c r="C118" s="1814"/>
      <c r="D118" s="803">
        <v>4480</v>
      </c>
      <c r="E118" s="800">
        <f t="shared" si="25"/>
        <v>1900</v>
      </c>
      <c r="F118" s="800">
        <f t="shared" si="27"/>
        <v>1900</v>
      </c>
      <c r="G118" s="800">
        <f t="shared" si="28"/>
        <v>1900</v>
      </c>
      <c r="H118" s="800"/>
      <c r="I118" s="800">
        <v>1900</v>
      </c>
      <c r="J118" s="800"/>
      <c r="K118" s="800"/>
      <c r="L118" s="801"/>
    </row>
    <row r="119" spans="1:13" ht="12.75">
      <c r="A119" s="1809"/>
      <c r="B119" s="1811"/>
      <c r="C119" s="1814"/>
      <c r="D119" s="803">
        <v>4520</v>
      </c>
      <c r="E119" s="800">
        <f t="shared" si="25"/>
        <v>1120</v>
      </c>
      <c r="F119" s="800">
        <f t="shared" si="27"/>
        <v>1120</v>
      </c>
      <c r="G119" s="800">
        <f t="shared" si="28"/>
        <v>1120</v>
      </c>
      <c r="H119" s="800"/>
      <c r="I119" s="800">
        <v>1120</v>
      </c>
      <c r="J119" s="800"/>
      <c r="K119" s="800"/>
      <c r="L119" s="801"/>
    </row>
    <row r="120" spans="1:13" ht="12.75">
      <c r="A120" s="1809"/>
      <c r="B120" s="1811"/>
      <c r="C120" s="1814"/>
      <c r="D120" s="803">
        <v>4610</v>
      </c>
      <c r="E120" s="800">
        <f t="shared" si="25"/>
        <v>1000</v>
      </c>
      <c r="F120" s="800">
        <f t="shared" si="27"/>
        <v>1000</v>
      </c>
      <c r="G120" s="800">
        <f t="shared" si="28"/>
        <v>1000</v>
      </c>
      <c r="H120" s="800"/>
      <c r="I120" s="800">
        <v>1000</v>
      </c>
      <c r="J120" s="800"/>
      <c r="K120" s="800"/>
      <c r="L120" s="801"/>
    </row>
    <row r="121" spans="1:13" ht="12.75">
      <c r="A121" s="1809"/>
      <c r="B121" s="1812"/>
      <c r="C121" s="1815"/>
      <c r="D121" s="803">
        <v>4700</v>
      </c>
      <c r="E121" s="800">
        <f t="shared" si="25"/>
        <v>1000</v>
      </c>
      <c r="F121" s="800">
        <f t="shared" si="27"/>
        <v>1000</v>
      </c>
      <c r="G121" s="800">
        <f t="shared" si="28"/>
        <v>1000</v>
      </c>
      <c r="H121" s="800"/>
      <c r="I121" s="800">
        <v>1000</v>
      </c>
      <c r="J121" s="800"/>
      <c r="K121" s="800"/>
      <c r="L121" s="801"/>
    </row>
    <row r="122" spans="1:13" ht="30" customHeight="1">
      <c r="A122" s="1809"/>
      <c r="B122" s="1810" t="s">
        <v>588</v>
      </c>
      <c r="C122" s="1813" t="s">
        <v>910</v>
      </c>
      <c r="D122" s="784" t="s">
        <v>880</v>
      </c>
      <c r="E122" s="797">
        <f>SUM(F122,L122)</f>
        <v>700000</v>
      </c>
      <c r="F122" s="797">
        <f>SUM(G122,J122,K122)</f>
        <v>700000</v>
      </c>
      <c r="G122" s="797">
        <f>SUM(H122:I122)</f>
        <v>698870</v>
      </c>
      <c r="H122" s="797">
        <f>SUM(H123:H143)</f>
        <v>525204</v>
      </c>
      <c r="I122" s="797">
        <f>SUM(I123:I143)</f>
        <v>173666</v>
      </c>
      <c r="J122" s="797"/>
      <c r="K122" s="797">
        <f t="shared" ref="K122" si="29">SUM(K123:K143)</f>
        <v>1130</v>
      </c>
      <c r="L122" s="798"/>
    </row>
    <row r="123" spans="1:13" ht="12.75">
      <c r="A123" s="1809"/>
      <c r="B123" s="1811"/>
      <c r="C123" s="1814"/>
      <c r="D123" s="803">
        <v>3020</v>
      </c>
      <c r="E123" s="800">
        <f>SUM(F123,L123)</f>
        <v>1130</v>
      </c>
      <c r="F123" s="800">
        <f>SUM(G123,J123,K123)</f>
        <v>1130</v>
      </c>
      <c r="G123" s="800"/>
      <c r="H123" s="800"/>
      <c r="I123" s="800"/>
      <c r="J123" s="800"/>
      <c r="K123" s="800">
        <v>1130</v>
      </c>
      <c r="L123" s="801"/>
    </row>
    <row r="124" spans="1:13" ht="12.75">
      <c r="A124" s="1809"/>
      <c r="B124" s="1811"/>
      <c r="C124" s="1814"/>
      <c r="D124" s="804">
        <v>4010</v>
      </c>
      <c r="E124" s="800">
        <f t="shared" ref="E124:E143" si="30">SUM(F124,L124)</f>
        <v>375562</v>
      </c>
      <c r="F124" s="800">
        <f t="shared" ref="F124:F143" si="31">SUM(G124,J124,K124)</f>
        <v>375562</v>
      </c>
      <c r="G124" s="800">
        <f t="shared" ref="G124:G143" si="32">SUM(H124:I124)</f>
        <v>375562</v>
      </c>
      <c r="H124" s="800">
        <v>375562</v>
      </c>
      <c r="I124" s="800"/>
      <c r="J124" s="800"/>
      <c r="K124" s="800"/>
      <c r="L124" s="801"/>
      <c r="M124" s="768"/>
    </row>
    <row r="125" spans="1:13" ht="12.75">
      <c r="A125" s="1809"/>
      <c r="B125" s="1811"/>
      <c r="C125" s="1814"/>
      <c r="D125" s="804">
        <v>4040</v>
      </c>
      <c r="E125" s="800">
        <f t="shared" si="30"/>
        <v>56860</v>
      </c>
      <c r="F125" s="800">
        <f t="shared" si="31"/>
        <v>56860</v>
      </c>
      <c r="G125" s="800">
        <f t="shared" si="32"/>
        <v>56860</v>
      </c>
      <c r="H125" s="800">
        <v>56860</v>
      </c>
      <c r="I125" s="800"/>
      <c r="J125" s="800"/>
      <c r="K125" s="800"/>
      <c r="L125" s="801"/>
    </row>
    <row r="126" spans="1:13" ht="12.75">
      <c r="A126" s="1809"/>
      <c r="B126" s="1811"/>
      <c r="C126" s="1814"/>
      <c r="D126" s="804">
        <v>4110</v>
      </c>
      <c r="E126" s="800">
        <f t="shared" si="30"/>
        <v>75402</v>
      </c>
      <c r="F126" s="800">
        <f t="shared" si="31"/>
        <v>75402</v>
      </c>
      <c r="G126" s="800">
        <f t="shared" si="32"/>
        <v>75402</v>
      </c>
      <c r="H126" s="800">
        <v>75402</v>
      </c>
      <c r="I126" s="800"/>
      <c r="J126" s="800"/>
      <c r="K126" s="800"/>
      <c r="L126" s="801"/>
    </row>
    <row r="127" spans="1:13" ht="12.75">
      <c r="A127" s="1809"/>
      <c r="B127" s="1811"/>
      <c r="C127" s="1814"/>
      <c r="D127" s="804">
        <v>4120</v>
      </c>
      <c r="E127" s="800">
        <f t="shared" si="30"/>
        <v>10180</v>
      </c>
      <c r="F127" s="800">
        <f t="shared" si="31"/>
        <v>10180</v>
      </c>
      <c r="G127" s="800">
        <f t="shared" si="32"/>
        <v>10180</v>
      </c>
      <c r="H127" s="800">
        <v>10180</v>
      </c>
      <c r="I127" s="800"/>
      <c r="J127" s="800"/>
      <c r="K127" s="800"/>
      <c r="L127" s="801"/>
      <c r="M127" s="768"/>
    </row>
    <row r="128" spans="1:13" ht="12.75">
      <c r="A128" s="1809"/>
      <c r="B128" s="1811"/>
      <c r="C128" s="1814"/>
      <c r="D128" s="804">
        <v>4170</v>
      </c>
      <c r="E128" s="800">
        <f t="shared" si="30"/>
        <v>7200</v>
      </c>
      <c r="F128" s="800">
        <f t="shared" si="31"/>
        <v>7200</v>
      </c>
      <c r="G128" s="800">
        <f t="shared" si="32"/>
        <v>7200</v>
      </c>
      <c r="H128" s="800">
        <v>7200</v>
      </c>
      <c r="I128" s="800"/>
      <c r="J128" s="800"/>
      <c r="K128" s="800"/>
      <c r="L128" s="801"/>
      <c r="M128" s="768"/>
    </row>
    <row r="129" spans="1:12" ht="12.75">
      <c r="A129" s="1809"/>
      <c r="B129" s="1811"/>
      <c r="C129" s="1814"/>
      <c r="D129" s="803">
        <v>4140</v>
      </c>
      <c r="E129" s="800">
        <f t="shared" si="30"/>
        <v>4177</v>
      </c>
      <c r="F129" s="800">
        <f t="shared" si="31"/>
        <v>4177</v>
      </c>
      <c r="G129" s="800">
        <f t="shared" si="32"/>
        <v>4177</v>
      </c>
      <c r="H129" s="800"/>
      <c r="I129" s="800">
        <v>4177</v>
      </c>
      <c r="J129" s="800"/>
      <c r="K129" s="800"/>
      <c r="L129" s="801"/>
    </row>
    <row r="130" spans="1:12" ht="12.75">
      <c r="A130" s="1809"/>
      <c r="B130" s="1811"/>
      <c r="C130" s="1814"/>
      <c r="D130" s="803">
        <v>4210</v>
      </c>
      <c r="E130" s="800">
        <f t="shared" si="30"/>
        <v>18241</v>
      </c>
      <c r="F130" s="800">
        <f t="shared" si="31"/>
        <v>18241</v>
      </c>
      <c r="G130" s="800">
        <f t="shared" si="32"/>
        <v>18241</v>
      </c>
      <c r="H130" s="800"/>
      <c r="I130" s="800">
        <v>18241</v>
      </c>
      <c r="J130" s="800"/>
      <c r="K130" s="800"/>
      <c r="L130" s="801"/>
    </row>
    <row r="131" spans="1:12" ht="12.75">
      <c r="A131" s="1809"/>
      <c r="B131" s="1811"/>
      <c r="C131" s="1814"/>
      <c r="D131" s="803">
        <v>4260</v>
      </c>
      <c r="E131" s="800">
        <f t="shared" si="30"/>
        <v>7600</v>
      </c>
      <c r="F131" s="800">
        <f t="shared" si="31"/>
        <v>7600</v>
      </c>
      <c r="G131" s="800">
        <f t="shared" si="32"/>
        <v>7600</v>
      </c>
      <c r="H131" s="800"/>
      <c r="I131" s="800">
        <v>7600</v>
      </c>
      <c r="J131" s="800"/>
      <c r="K131" s="800"/>
      <c r="L131" s="801"/>
    </row>
    <row r="132" spans="1:12" ht="12.75">
      <c r="A132" s="1809"/>
      <c r="B132" s="1811"/>
      <c r="C132" s="1814"/>
      <c r="D132" s="803">
        <v>4270</v>
      </c>
      <c r="E132" s="800">
        <f t="shared" si="30"/>
        <v>4740</v>
      </c>
      <c r="F132" s="800">
        <f t="shared" si="31"/>
        <v>4740</v>
      </c>
      <c r="G132" s="800">
        <f t="shared" si="32"/>
        <v>4740</v>
      </c>
      <c r="H132" s="800"/>
      <c r="I132" s="800">
        <v>4740</v>
      </c>
      <c r="J132" s="800"/>
      <c r="K132" s="800"/>
      <c r="L132" s="801"/>
    </row>
    <row r="133" spans="1:12" ht="12.75">
      <c r="A133" s="1809"/>
      <c r="B133" s="1811"/>
      <c r="C133" s="1814"/>
      <c r="D133" s="803">
        <v>4280</v>
      </c>
      <c r="E133" s="800">
        <f t="shared" si="30"/>
        <v>1500</v>
      </c>
      <c r="F133" s="800">
        <f t="shared" si="31"/>
        <v>1500</v>
      </c>
      <c r="G133" s="800">
        <f t="shared" si="32"/>
        <v>1500</v>
      </c>
      <c r="H133" s="800"/>
      <c r="I133" s="800">
        <v>1500</v>
      </c>
      <c r="J133" s="800"/>
      <c r="K133" s="800"/>
      <c r="L133" s="801"/>
    </row>
    <row r="134" spans="1:12" ht="12.75">
      <c r="A134" s="1809"/>
      <c r="B134" s="1811"/>
      <c r="C134" s="1814"/>
      <c r="D134" s="803">
        <v>4300</v>
      </c>
      <c r="E134" s="800">
        <f t="shared" si="30"/>
        <v>27150</v>
      </c>
      <c r="F134" s="800">
        <f t="shared" si="31"/>
        <v>27150</v>
      </c>
      <c r="G134" s="800">
        <f t="shared" si="32"/>
        <v>27150</v>
      </c>
      <c r="H134" s="800"/>
      <c r="I134" s="800">
        <v>27150</v>
      </c>
      <c r="J134" s="800"/>
      <c r="K134" s="800"/>
      <c r="L134" s="801"/>
    </row>
    <row r="135" spans="1:12" ht="12.75">
      <c r="A135" s="1809"/>
      <c r="B135" s="1811"/>
      <c r="C135" s="1814"/>
      <c r="D135" s="803">
        <v>4350</v>
      </c>
      <c r="E135" s="800">
        <f t="shared" si="30"/>
        <v>3600</v>
      </c>
      <c r="F135" s="800">
        <f t="shared" si="31"/>
        <v>3600</v>
      </c>
      <c r="G135" s="800">
        <f t="shared" si="32"/>
        <v>3600</v>
      </c>
      <c r="H135" s="800"/>
      <c r="I135" s="800">
        <v>3600</v>
      </c>
      <c r="J135" s="800"/>
      <c r="K135" s="800"/>
      <c r="L135" s="801"/>
    </row>
    <row r="136" spans="1:12" ht="12.75">
      <c r="A136" s="1809"/>
      <c r="B136" s="1811"/>
      <c r="C136" s="1814"/>
      <c r="D136" s="803">
        <v>4370</v>
      </c>
      <c r="E136" s="800">
        <f t="shared" si="30"/>
        <v>4000</v>
      </c>
      <c r="F136" s="800">
        <f t="shared" si="31"/>
        <v>4000</v>
      </c>
      <c r="G136" s="800">
        <f t="shared" si="32"/>
        <v>4000</v>
      </c>
      <c r="H136" s="800"/>
      <c r="I136" s="800">
        <v>4000</v>
      </c>
      <c r="J136" s="800"/>
      <c r="K136" s="800"/>
      <c r="L136" s="801"/>
    </row>
    <row r="137" spans="1:12" ht="12.75">
      <c r="A137" s="1809"/>
      <c r="B137" s="1811"/>
      <c r="C137" s="1814"/>
      <c r="D137" s="803">
        <v>4380</v>
      </c>
      <c r="E137" s="800">
        <f t="shared" si="30"/>
        <v>208</v>
      </c>
      <c r="F137" s="800">
        <f t="shared" si="31"/>
        <v>208</v>
      </c>
      <c r="G137" s="800">
        <f t="shared" si="32"/>
        <v>208</v>
      </c>
      <c r="H137" s="800"/>
      <c r="I137" s="800">
        <v>208</v>
      </c>
      <c r="J137" s="800"/>
      <c r="K137" s="800"/>
      <c r="L137" s="801"/>
    </row>
    <row r="138" spans="1:12" ht="12.75">
      <c r="A138" s="1809"/>
      <c r="B138" s="1811"/>
      <c r="C138" s="1814"/>
      <c r="D138" s="803">
        <v>4400</v>
      </c>
      <c r="E138" s="800">
        <f t="shared" si="30"/>
        <v>73900</v>
      </c>
      <c r="F138" s="800">
        <f t="shared" si="31"/>
        <v>73900</v>
      </c>
      <c r="G138" s="800">
        <f t="shared" si="32"/>
        <v>73900</v>
      </c>
      <c r="H138" s="800"/>
      <c r="I138" s="800">
        <v>73900</v>
      </c>
      <c r="J138" s="800"/>
      <c r="K138" s="800"/>
      <c r="L138" s="801"/>
    </row>
    <row r="139" spans="1:12" ht="12.75">
      <c r="A139" s="1809"/>
      <c r="B139" s="1811"/>
      <c r="C139" s="1814"/>
      <c r="D139" s="803">
        <v>4410</v>
      </c>
      <c r="E139" s="800">
        <f t="shared" si="30"/>
        <v>9000</v>
      </c>
      <c r="F139" s="800">
        <f t="shared" si="31"/>
        <v>9000</v>
      </c>
      <c r="G139" s="800">
        <f t="shared" si="32"/>
        <v>9000</v>
      </c>
      <c r="H139" s="800"/>
      <c r="I139" s="800">
        <v>9000</v>
      </c>
      <c r="J139" s="800"/>
      <c r="K139" s="800"/>
      <c r="L139" s="801"/>
    </row>
    <row r="140" spans="1:12" ht="12.75">
      <c r="A140" s="1809"/>
      <c r="B140" s="1811"/>
      <c r="C140" s="1814"/>
      <c r="D140" s="803">
        <v>4440</v>
      </c>
      <c r="E140" s="800">
        <f t="shared" si="30"/>
        <v>14950</v>
      </c>
      <c r="F140" s="800">
        <f t="shared" si="31"/>
        <v>14950</v>
      </c>
      <c r="G140" s="800">
        <f t="shared" si="32"/>
        <v>14950</v>
      </c>
      <c r="H140" s="800"/>
      <c r="I140" s="800">
        <v>14950</v>
      </c>
      <c r="J140" s="800"/>
      <c r="K140" s="800"/>
      <c r="L140" s="801"/>
    </row>
    <row r="141" spans="1:12" ht="12.75">
      <c r="A141" s="1809"/>
      <c r="B141" s="1811"/>
      <c r="C141" s="1814"/>
      <c r="D141" s="803">
        <v>4480</v>
      </c>
      <c r="E141" s="800">
        <f t="shared" si="30"/>
        <v>2400</v>
      </c>
      <c r="F141" s="800">
        <f t="shared" si="31"/>
        <v>2400</v>
      </c>
      <c r="G141" s="800">
        <f t="shared" si="32"/>
        <v>2400</v>
      </c>
      <c r="H141" s="800"/>
      <c r="I141" s="800">
        <v>2400</v>
      </c>
      <c r="J141" s="800"/>
      <c r="K141" s="800"/>
      <c r="L141" s="801"/>
    </row>
    <row r="142" spans="1:12" ht="12.75">
      <c r="A142" s="1809"/>
      <c r="B142" s="1811"/>
      <c r="C142" s="1814"/>
      <c r="D142" s="803">
        <v>4520</v>
      </c>
      <c r="E142" s="800">
        <f t="shared" si="30"/>
        <v>700</v>
      </c>
      <c r="F142" s="800">
        <f t="shared" si="31"/>
        <v>700</v>
      </c>
      <c r="G142" s="800">
        <f t="shared" si="32"/>
        <v>700</v>
      </c>
      <c r="H142" s="800"/>
      <c r="I142" s="800">
        <v>700</v>
      </c>
      <c r="J142" s="800"/>
      <c r="K142" s="800"/>
      <c r="L142" s="801"/>
    </row>
    <row r="143" spans="1:12" ht="12.75">
      <c r="A143" s="1805"/>
      <c r="B143" s="1812"/>
      <c r="C143" s="1815"/>
      <c r="D143" s="803">
        <v>4700</v>
      </c>
      <c r="E143" s="800">
        <f t="shared" si="30"/>
        <v>1500</v>
      </c>
      <c r="F143" s="800">
        <f t="shared" si="31"/>
        <v>1500</v>
      </c>
      <c r="G143" s="800">
        <f t="shared" si="32"/>
        <v>1500</v>
      </c>
      <c r="H143" s="800"/>
      <c r="I143" s="800">
        <v>1500</v>
      </c>
      <c r="J143" s="800"/>
      <c r="K143" s="800"/>
      <c r="L143" s="801"/>
    </row>
    <row r="144" spans="1:12" ht="32.25" customHeight="1">
      <c r="A144" s="1773" t="s">
        <v>27</v>
      </c>
      <c r="B144" s="1816" t="s">
        <v>826</v>
      </c>
      <c r="C144" s="1816"/>
      <c r="D144" s="817"/>
      <c r="E144" s="807">
        <f>SUM(F144,L144)</f>
        <v>5000</v>
      </c>
      <c r="F144" s="807">
        <f t="shared" ref="F144:K144" si="33">SUM(F145)</f>
        <v>5000</v>
      </c>
      <c r="G144" s="807">
        <f>SUM(H144:I144)</f>
        <v>4750</v>
      </c>
      <c r="H144" s="807">
        <f>SUM(H145)</f>
        <v>1040</v>
      </c>
      <c r="I144" s="807">
        <f t="shared" si="33"/>
        <v>3710</v>
      </c>
      <c r="J144" s="807"/>
      <c r="K144" s="807">
        <f t="shared" si="33"/>
        <v>250</v>
      </c>
      <c r="L144" s="808"/>
    </row>
    <row r="145" spans="1:13" s="814" customFormat="1" ht="30.75" customHeight="1">
      <c r="A145" s="1781"/>
      <c r="B145" s="1810" t="s">
        <v>612</v>
      </c>
      <c r="C145" s="1817" t="s">
        <v>613</v>
      </c>
      <c r="D145" s="816" t="s">
        <v>880</v>
      </c>
      <c r="E145" s="797">
        <f>SUM(F145,L145)</f>
        <v>5000</v>
      </c>
      <c r="F145" s="797">
        <f>SUM(G145,J145,K145)</f>
        <v>5000</v>
      </c>
      <c r="G145" s="797">
        <f>SUM(H145:I145)</f>
        <v>4750</v>
      </c>
      <c r="H145" s="797">
        <f>SUM(H146:H148)</f>
        <v>1040</v>
      </c>
      <c r="I145" s="797">
        <f>SUM(I146:I148)</f>
        <v>3710</v>
      </c>
      <c r="J145" s="797"/>
      <c r="K145" s="797">
        <f t="shared" ref="K145" si="34">SUM(K146:K148)</f>
        <v>250</v>
      </c>
      <c r="L145" s="797"/>
    </row>
    <row r="146" spans="1:13" s="814" customFormat="1" ht="12.75">
      <c r="A146" s="1781"/>
      <c r="B146" s="1811"/>
      <c r="C146" s="1818"/>
      <c r="D146" s="804">
        <v>3030</v>
      </c>
      <c r="E146" s="800">
        <f>SUM(F146,L146)</f>
        <v>250</v>
      </c>
      <c r="F146" s="800">
        <f>SUM(G146,J146,K146)</f>
        <v>250</v>
      </c>
      <c r="G146" s="800"/>
      <c r="H146" s="800"/>
      <c r="I146" s="815"/>
      <c r="J146" s="815"/>
      <c r="K146" s="815">
        <v>250</v>
      </c>
      <c r="L146" s="801"/>
    </row>
    <row r="147" spans="1:13" s="814" customFormat="1" ht="12.75">
      <c r="A147" s="1781"/>
      <c r="B147" s="1811"/>
      <c r="C147" s="1818"/>
      <c r="D147" s="804">
        <v>4170</v>
      </c>
      <c r="E147" s="800">
        <f t="shared" ref="E147:E148" si="35">SUM(F147,L147)</f>
        <v>1040</v>
      </c>
      <c r="F147" s="800">
        <f t="shared" ref="F147:F148" si="36">SUM(G147,J147,K147)</f>
        <v>1040</v>
      </c>
      <c r="G147" s="800">
        <f t="shared" ref="G147:G148" si="37">SUM(H147:I147)</f>
        <v>1040</v>
      </c>
      <c r="H147" s="800">
        <v>1040</v>
      </c>
      <c r="I147" s="815"/>
      <c r="J147" s="815"/>
      <c r="K147" s="815"/>
      <c r="L147" s="801"/>
    </row>
    <row r="148" spans="1:13" s="814" customFormat="1" ht="13.5" thickBot="1">
      <c r="A148" s="1781"/>
      <c r="B148" s="1811"/>
      <c r="C148" s="1818"/>
      <c r="D148" s="818">
        <v>4210</v>
      </c>
      <c r="E148" s="819">
        <f t="shared" si="35"/>
        <v>3710</v>
      </c>
      <c r="F148" s="819">
        <f t="shared" si="36"/>
        <v>3710</v>
      </c>
      <c r="G148" s="819">
        <f t="shared" si="37"/>
        <v>3710</v>
      </c>
      <c r="H148" s="819"/>
      <c r="I148" s="820">
        <v>3710</v>
      </c>
      <c r="J148" s="820"/>
      <c r="K148" s="820"/>
      <c r="L148" s="821"/>
      <c r="M148" s="813"/>
    </row>
    <row r="149" spans="1:13" ht="35.1" customHeight="1" thickBot="1">
      <c r="A149" s="1819" t="s">
        <v>113</v>
      </c>
      <c r="B149" s="1820"/>
      <c r="C149" s="1820"/>
      <c r="D149" s="822"/>
      <c r="E149" s="823">
        <f t="shared" ref="E149:L149" si="38">SUM(E144,E98,E95,E93,E82,E66,E63,E6)</f>
        <v>82402000</v>
      </c>
      <c r="F149" s="823">
        <f t="shared" si="38"/>
        <v>73301000</v>
      </c>
      <c r="G149" s="823">
        <f t="shared" si="38"/>
        <v>15884659</v>
      </c>
      <c r="H149" s="823">
        <f t="shared" si="38"/>
        <v>7905779</v>
      </c>
      <c r="I149" s="823">
        <f t="shared" si="38"/>
        <v>7978880</v>
      </c>
      <c r="J149" s="823">
        <f t="shared" si="38"/>
        <v>57400000</v>
      </c>
      <c r="K149" s="823">
        <f t="shared" si="38"/>
        <v>16341</v>
      </c>
      <c r="L149" s="788">
        <f t="shared" si="38"/>
        <v>9101000</v>
      </c>
    </row>
    <row r="150" spans="1:13" ht="12.75">
      <c r="A150" s="824"/>
      <c r="B150" s="825"/>
      <c r="E150" s="768"/>
      <c r="F150" s="768"/>
      <c r="G150" s="768"/>
      <c r="H150" s="768"/>
      <c r="I150" s="768"/>
      <c r="J150" s="768"/>
      <c r="K150" s="768"/>
      <c r="L150" s="768"/>
    </row>
    <row r="151" spans="1:13" ht="12.75">
      <c r="A151" s="824"/>
      <c r="B151" s="825"/>
      <c r="E151" s="768"/>
      <c r="F151" s="768"/>
      <c r="G151" s="768"/>
      <c r="H151" s="768"/>
      <c r="I151" s="768"/>
      <c r="J151" s="768"/>
      <c r="K151" s="768"/>
      <c r="L151" s="768"/>
    </row>
    <row r="152" spans="1:13" ht="12.75">
      <c r="A152" s="824"/>
      <c r="B152" s="825"/>
      <c r="E152" s="768"/>
      <c r="F152" s="768"/>
      <c r="G152" s="768"/>
      <c r="H152" s="768"/>
      <c r="I152" s="768"/>
      <c r="J152" s="768"/>
      <c r="K152" s="768"/>
      <c r="L152" s="768"/>
    </row>
    <row r="153" spans="1:13" ht="12.75">
      <c r="A153" s="824"/>
      <c r="B153" s="825"/>
      <c r="E153" s="768"/>
      <c r="F153" s="768"/>
      <c r="G153" s="768"/>
      <c r="H153" s="768"/>
      <c r="I153" s="768"/>
      <c r="J153" s="768"/>
      <c r="K153" s="768"/>
      <c r="L153" s="768"/>
    </row>
    <row r="154" spans="1:13" ht="12.75">
      <c r="A154" s="824"/>
      <c r="B154" s="825"/>
      <c r="E154" s="768"/>
      <c r="F154" s="768"/>
      <c r="G154" s="768"/>
      <c r="H154" s="768"/>
      <c r="I154" s="768"/>
      <c r="J154" s="768"/>
      <c r="K154" s="768"/>
      <c r="L154" s="768"/>
    </row>
    <row r="155" spans="1:13" ht="12.75">
      <c r="A155" s="1802"/>
      <c r="B155" s="1803"/>
      <c r="C155" s="1803"/>
      <c r="D155" s="1803"/>
      <c r="E155" s="1803"/>
      <c r="F155" s="1803"/>
      <c r="G155" s="1803"/>
      <c r="H155" s="1803"/>
      <c r="I155" s="1803"/>
      <c r="J155" s="1803"/>
      <c r="K155" s="1803"/>
      <c r="L155" s="1803"/>
    </row>
    <row r="156" spans="1:13" ht="12.75">
      <c r="A156" s="824"/>
      <c r="B156" s="825"/>
      <c r="F156" s="768"/>
      <c r="G156" s="768"/>
      <c r="H156" s="768"/>
      <c r="I156" s="768"/>
      <c r="J156" s="768"/>
      <c r="K156" s="768"/>
      <c r="L156" s="768"/>
    </row>
    <row r="157" spans="1:13" ht="12.75">
      <c r="A157" s="824"/>
      <c r="B157" s="825"/>
      <c r="E157" s="768"/>
      <c r="F157" s="768"/>
      <c r="G157" s="768"/>
      <c r="H157" s="768"/>
      <c r="I157" s="768"/>
      <c r="J157" s="768"/>
      <c r="K157" s="768"/>
      <c r="L157" s="768"/>
    </row>
    <row r="158" spans="1:13" ht="12.75">
      <c r="A158" s="824"/>
      <c r="B158" s="825"/>
      <c r="F158" s="768"/>
      <c r="G158" s="768"/>
      <c r="H158" s="768"/>
      <c r="I158" s="768"/>
      <c r="J158" s="768"/>
      <c r="K158" s="768"/>
      <c r="L158" s="768"/>
    </row>
    <row r="159" spans="1:13" ht="12.75">
      <c r="A159" s="824"/>
      <c r="B159" s="825"/>
      <c r="F159" s="768"/>
      <c r="G159" s="768"/>
      <c r="H159" s="768"/>
      <c r="I159" s="768"/>
      <c r="J159" s="768"/>
      <c r="K159" s="768"/>
      <c r="L159" s="768"/>
    </row>
    <row r="160" spans="1:13" ht="12.75">
      <c r="A160" s="824"/>
      <c r="B160" s="825"/>
      <c r="F160" s="768"/>
      <c r="G160" s="768"/>
      <c r="H160" s="768"/>
      <c r="I160" s="768"/>
      <c r="J160" s="768"/>
      <c r="K160" s="768"/>
      <c r="L160" s="768"/>
    </row>
    <row r="161" spans="1:12" ht="12.75">
      <c r="A161" s="824"/>
      <c r="B161" s="825"/>
      <c r="F161" s="768"/>
      <c r="G161" s="768"/>
      <c r="H161" s="768"/>
      <c r="I161" s="768"/>
      <c r="J161" s="768"/>
      <c r="K161" s="768"/>
      <c r="L161" s="768"/>
    </row>
    <row r="162" spans="1:12" ht="12.75">
      <c r="A162" s="824"/>
      <c r="B162" s="825"/>
      <c r="F162" s="768"/>
      <c r="G162" s="768"/>
      <c r="H162" s="768"/>
      <c r="I162" s="768"/>
      <c r="J162" s="768"/>
      <c r="K162" s="768"/>
      <c r="L162" s="768"/>
    </row>
    <row r="163" spans="1:12" ht="12.75">
      <c r="A163" s="826"/>
      <c r="B163" s="825"/>
      <c r="F163" s="768"/>
      <c r="G163" s="768"/>
      <c r="H163" s="768"/>
      <c r="I163" s="768"/>
      <c r="J163" s="768"/>
      <c r="K163" s="768"/>
      <c r="L163" s="768"/>
    </row>
    <row r="164" spans="1:12" ht="12.75">
      <c r="A164" s="826"/>
      <c r="B164" s="825"/>
      <c r="F164" s="768"/>
      <c r="G164" s="768"/>
      <c r="H164" s="768"/>
      <c r="I164" s="768"/>
      <c r="J164" s="768"/>
      <c r="K164" s="768"/>
      <c r="L164" s="768"/>
    </row>
    <row r="165" spans="1:12" ht="12.75">
      <c r="A165" s="826"/>
      <c r="B165" s="825"/>
      <c r="F165" s="768"/>
      <c r="G165" s="768"/>
      <c r="H165" s="768"/>
      <c r="I165" s="768"/>
      <c r="J165" s="768"/>
      <c r="K165" s="768"/>
      <c r="L165" s="768"/>
    </row>
    <row r="166" spans="1:12" ht="12.75">
      <c r="A166" s="826"/>
      <c r="B166" s="825"/>
      <c r="F166" s="768"/>
      <c r="G166" s="768"/>
      <c r="H166" s="768"/>
      <c r="I166" s="768"/>
      <c r="J166" s="768"/>
      <c r="K166" s="768"/>
      <c r="L166" s="768"/>
    </row>
    <row r="167" spans="1:12" ht="12.75">
      <c r="A167" s="826"/>
      <c r="B167" s="825"/>
      <c r="F167" s="768"/>
      <c r="G167" s="768"/>
      <c r="H167" s="768"/>
      <c r="I167" s="768"/>
      <c r="J167" s="768"/>
      <c r="K167" s="768"/>
      <c r="L167" s="768"/>
    </row>
    <row r="168" spans="1:12" ht="12.75">
      <c r="A168" s="826"/>
      <c r="B168" s="825"/>
      <c r="F168" s="768"/>
      <c r="G168" s="768"/>
      <c r="H168" s="768"/>
      <c r="I168" s="768"/>
      <c r="J168" s="768"/>
      <c r="K168" s="768"/>
      <c r="L168" s="768"/>
    </row>
    <row r="169" spans="1:12" ht="12.75">
      <c r="A169" s="826"/>
      <c r="B169" s="825"/>
      <c r="F169" s="768"/>
      <c r="G169" s="768"/>
      <c r="H169" s="768"/>
      <c r="I169" s="768"/>
      <c r="J169" s="768"/>
      <c r="K169" s="768"/>
      <c r="L169" s="768"/>
    </row>
    <row r="170" spans="1:12" ht="12.75">
      <c r="A170" s="826"/>
      <c r="B170" s="825"/>
      <c r="F170" s="768"/>
      <c r="G170" s="768"/>
      <c r="H170" s="768"/>
      <c r="I170" s="768"/>
      <c r="J170" s="768"/>
      <c r="K170" s="768"/>
      <c r="L170" s="768"/>
    </row>
    <row r="171" spans="1:12" ht="12.75">
      <c r="A171" s="826"/>
      <c r="B171" s="825"/>
      <c r="F171" s="768"/>
      <c r="G171" s="768"/>
      <c r="H171" s="768"/>
      <c r="I171" s="768"/>
      <c r="J171" s="768"/>
      <c r="K171" s="768"/>
      <c r="L171" s="768"/>
    </row>
    <row r="172" spans="1:12" ht="12.75">
      <c r="A172" s="826"/>
      <c r="B172" s="825"/>
      <c r="F172" s="768"/>
      <c r="G172" s="768"/>
      <c r="H172" s="768"/>
      <c r="I172" s="768"/>
      <c r="J172" s="768"/>
      <c r="K172" s="768"/>
      <c r="L172" s="768"/>
    </row>
    <row r="173" spans="1:12" ht="12.75">
      <c r="A173" s="826"/>
      <c r="B173" s="825"/>
      <c r="F173" s="768"/>
      <c r="G173" s="768"/>
      <c r="H173" s="768"/>
      <c r="I173" s="768"/>
      <c r="J173" s="768"/>
      <c r="K173" s="768"/>
      <c r="L173" s="768"/>
    </row>
    <row r="174" spans="1:12" ht="12.75">
      <c r="A174" s="826"/>
      <c r="B174" s="825"/>
      <c r="F174" s="768"/>
      <c r="G174" s="768"/>
      <c r="H174" s="768"/>
      <c r="I174" s="768"/>
      <c r="J174" s="768"/>
      <c r="K174" s="768"/>
      <c r="L174" s="768"/>
    </row>
    <row r="175" spans="1:12" ht="12.75">
      <c r="A175" s="826"/>
      <c r="B175" s="825"/>
      <c r="F175" s="768"/>
      <c r="G175" s="768"/>
      <c r="H175" s="768"/>
      <c r="I175" s="768"/>
      <c r="J175" s="768"/>
      <c r="K175" s="768"/>
      <c r="L175" s="768"/>
    </row>
    <row r="176" spans="1:12" ht="12.75">
      <c r="A176" s="826"/>
      <c r="B176" s="825"/>
      <c r="F176" s="768"/>
      <c r="G176" s="768"/>
      <c r="H176" s="768"/>
      <c r="I176" s="768"/>
      <c r="J176" s="768"/>
      <c r="K176" s="768"/>
      <c r="L176" s="768"/>
    </row>
    <row r="177" spans="1:13" ht="12.75">
      <c r="A177" s="826"/>
      <c r="B177" s="825"/>
      <c r="F177" s="768"/>
      <c r="G177" s="768"/>
      <c r="H177" s="768"/>
      <c r="I177" s="768"/>
      <c r="J177" s="768"/>
      <c r="K177" s="768"/>
      <c r="L177" s="768"/>
    </row>
    <row r="178" spans="1:13" ht="12.75">
      <c r="A178" s="826"/>
      <c r="B178" s="825"/>
      <c r="F178" s="768"/>
      <c r="G178" s="768"/>
      <c r="H178" s="768"/>
      <c r="I178" s="768"/>
      <c r="J178" s="768"/>
      <c r="K178" s="768"/>
      <c r="L178" s="768"/>
    </row>
    <row r="179" spans="1:13" ht="12.75">
      <c r="A179" s="826"/>
    </row>
    <row r="180" spans="1:13" ht="12.75">
      <c r="A180" s="826"/>
    </row>
    <row r="181" spans="1:13" ht="12.75">
      <c r="A181" s="826"/>
    </row>
    <row r="182" spans="1:13" ht="12.75">
      <c r="A182" s="826"/>
    </row>
    <row r="183" spans="1:13" ht="12.75">
      <c r="A183" s="826"/>
    </row>
    <row r="184" spans="1:13" s="827" customFormat="1" ht="12.75">
      <c r="A184" s="826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1:13" s="827" customFormat="1" ht="12.75">
      <c r="A185" s="826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spans="1:13" s="827" customFormat="1" ht="12.75">
      <c r="A186" s="826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spans="1:13" s="827" customFormat="1" ht="12.75">
      <c r="A187" s="826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spans="1:13" s="827" customFormat="1" ht="12.75">
      <c r="A188" s="826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1:13" s="827" customFormat="1" ht="12.75">
      <c r="A189" s="826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 spans="1:13" s="827" customFormat="1" ht="12.75">
      <c r="A190" s="826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13" s="827" customFormat="1" ht="12.75">
      <c r="A191" s="826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 s="827" customFormat="1" ht="12.75">
      <c r="A192" s="826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 s="827" customFormat="1" ht="12.75">
      <c r="A193" s="826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1:13" s="827" customFormat="1" ht="12.75">
      <c r="A194" s="826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1:13" s="827" customFormat="1" ht="12.75">
      <c r="A195" s="826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1:13" s="827" customFormat="1" ht="12.75">
      <c r="A196" s="826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1:13" s="827" customFormat="1" ht="12.75">
      <c r="A197" s="826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s="827" customFormat="1" ht="12.75">
      <c r="A198" s="826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1:13" s="827" customFormat="1" ht="12.75">
      <c r="A199" s="826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s="827" customFormat="1" ht="12.75">
      <c r="A200" s="826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1:13" s="827" customFormat="1" ht="12.75">
      <c r="A201" s="826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</row>
    <row r="202" spans="1:13" s="827" customFormat="1" ht="12.75">
      <c r="A202" s="826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1:13" s="827" customFormat="1" ht="12.75">
      <c r="A203" s="826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  <row r="204" spans="1:13" s="827" customFormat="1" ht="12.75">
      <c r="A204" s="826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</row>
    <row r="205" spans="1:13" s="827" customFormat="1" ht="12.75">
      <c r="A205" s="826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</row>
    <row r="206" spans="1:13" s="827" customFormat="1" ht="12.75">
      <c r="A206" s="826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</row>
    <row r="207" spans="1:13" s="827" customFormat="1" ht="12.75">
      <c r="A207" s="826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</row>
    <row r="208" spans="1:13" s="827" customFormat="1" ht="12.75">
      <c r="A208" s="826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</row>
    <row r="209" spans="1:13" s="827" customFormat="1" ht="12.75">
      <c r="A209" s="826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</row>
    <row r="210" spans="1:13" s="827" customFormat="1" ht="12.75">
      <c r="A210" s="826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</row>
    <row r="211" spans="1:13" s="827" customFormat="1" ht="12.75">
      <c r="A211" s="826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1:13" s="827" customFormat="1" ht="12.75">
      <c r="A212" s="826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</row>
    <row r="213" spans="1:13" s="827" customFormat="1" ht="12.75">
      <c r="A213" s="826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</row>
    <row r="214" spans="1:13" s="827" customFormat="1" ht="12.75">
      <c r="A214" s="826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</row>
    <row r="215" spans="1:13" s="827" customFormat="1" ht="12.75">
      <c r="A215" s="826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3" s="827" customFormat="1" ht="12.75">
      <c r="A216" s="826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1:13" s="827" customFormat="1" ht="12.75">
      <c r="A217" s="826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</row>
    <row r="218" spans="1:13" s="827" customFormat="1" ht="12.75">
      <c r="A218" s="826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</row>
    <row r="219" spans="1:13" s="827" customFormat="1" ht="12.75">
      <c r="A219" s="826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</row>
    <row r="220" spans="1:13" s="827" customFormat="1" ht="12.75">
      <c r="A220" s="826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</row>
    <row r="221" spans="1:13" s="827" customFormat="1" ht="12.75">
      <c r="A221" s="826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</row>
    <row r="287" spans="5:5">
      <c r="E287" s="828">
        <f>115000000+12000000</f>
        <v>127000000</v>
      </c>
    </row>
    <row r="395" spans="5:5">
      <c r="E395" s="828"/>
    </row>
  </sheetData>
  <mergeCells count="52">
    <mergeCell ref="A1:L1"/>
    <mergeCell ref="A2:L2"/>
    <mergeCell ref="A3:A5"/>
    <mergeCell ref="B3:B5"/>
    <mergeCell ref="C3:C5"/>
    <mergeCell ref="D3:D5"/>
    <mergeCell ref="E3:E5"/>
    <mergeCell ref="F3:F5"/>
    <mergeCell ref="G3:K3"/>
    <mergeCell ref="L3:L5"/>
    <mergeCell ref="G4:G5"/>
    <mergeCell ref="H4:I4"/>
    <mergeCell ref="J4:J5"/>
    <mergeCell ref="K4:K5"/>
    <mergeCell ref="A6:A62"/>
    <mergeCell ref="B6:C6"/>
    <mergeCell ref="B7:B13"/>
    <mergeCell ref="C7:C13"/>
    <mergeCell ref="B14:B32"/>
    <mergeCell ref="C14:C32"/>
    <mergeCell ref="B33:B61"/>
    <mergeCell ref="C33:C61"/>
    <mergeCell ref="A63:A65"/>
    <mergeCell ref="B63:C63"/>
    <mergeCell ref="A66:A81"/>
    <mergeCell ref="B66:C66"/>
    <mergeCell ref="B68:B77"/>
    <mergeCell ref="C68:C77"/>
    <mergeCell ref="B79:B81"/>
    <mergeCell ref="C79:C81"/>
    <mergeCell ref="A82:A92"/>
    <mergeCell ref="B82:C82"/>
    <mergeCell ref="B83:B86"/>
    <mergeCell ref="C83:C86"/>
    <mergeCell ref="B87:B92"/>
    <mergeCell ref="C87:C92"/>
    <mergeCell ref="A155:L155"/>
    <mergeCell ref="A93:A94"/>
    <mergeCell ref="B93:C93"/>
    <mergeCell ref="A95:A97"/>
    <mergeCell ref="B95:C95"/>
    <mergeCell ref="A98:A143"/>
    <mergeCell ref="B98:C98"/>
    <mergeCell ref="B99:B121"/>
    <mergeCell ref="C99:C121"/>
    <mergeCell ref="B122:B143"/>
    <mergeCell ref="C122:C143"/>
    <mergeCell ref="A144:A148"/>
    <mergeCell ref="B144:C144"/>
    <mergeCell ref="B145:B148"/>
    <mergeCell ref="C145:C148"/>
    <mergeCell ref="A149:C149"/>
  </mergeCells>
  <printOptions horizontalCentered="1"/>
  <pageMargins left="0.78740157480314965" right="0.39370078740157483" top="0.55118110236220474" bottom="0.43307086614173229" header="0.59055118110236227" footer="0.15748031496062992"/>
  <pageSetup paperSize="9" scale="60" orientation="portrait" r:id="rId1"/>
  <headerFooter>
    <oddFooter>Strona &amp;P z &amp;N</oddFooter>
  </headerFooter>
  <colBreaks count="1" manualBreakCount="1">
    <brk id="1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2:D14"/>
  <sheetViews>
    <sheetView view="pageBreakPreview" zoomScaleNormal="100" zoomScaleSheetLayoutView="100" workbookViewId="0">
      <selection activeCell="F1798" sqref="F1798"/>
    </sheetView>
  </sheetViews>
  <sheetFormatPr defaultRowHeight="15"/>
  <cols>
    <col min="2" max="2" width="11.7109375" customWidth="1"/>
    <col min="3" max="3" width="19.42578125" customWidth="1"/>
    <col min="4" max="4" width="95.140625" customWidth="1"/>
  </cols>
  <sheetData>
    <row r="2" spans="1:4">
      <c r="A2" s="1845" t="s">
        <v>883</v>
      </c>
      <c r="B2" s="1845"/>
      <c r="C2" s="1845"/>
      <c r="D2" s="1845"/>
    </row>
    <row r="3" spans="1:4" ht="26.25" customHeight="1">
      <c r="A3" s="1845"/>
      <c r="B3" s="1845"/>
      <c r="C3" s="1845"/>
      <c r="D3" s="1845"/>
    </row>
    <row r="4" spans="1:4" ht="18.75" thickBot="1">
      <c r="A4" s="830"/>
      <c r="B4" s="830"/>
      <c r="C4" s="830"/>
      <c r="D4" s="831" t="s">
        <v>884</v>
      </c>
    </row>
    <row r="5" spans="1:4">
      <c r="A5" s="1846" t="s">
        <v>0</v>
      </c>
      <c r="B5" s="1848" t="s">
        <v>1</v>
      </c>
      <c r="C5" s="1850" t="s">
        <v>885</v>
      </c>
      <c r="D5" s="1852" t="s">
        <v>886</v>
      </c>
    </row>
    <row r="6" spans="1:4" ht="15.75" thickBot="1">
      <c r="A6" s="1847"/>
      <c r="B6" s="1849"/>
      <c r="C6" s="1851"/>
      <c r="D6" s="1853"/>
    </row>
    <row r="7" spans="1:4" ht="31.5" customHeight="1">
      <c r="A7" s="1854" t="s">
        <v>5</v>
      </c>
      <c r="B7" s="832" t="s">
        <v>277</v>
      </c>
      <c r="C7" s="833">
        <v>71028</v>
      </c>
      <c r="D7" s="834" t="s">
        <v>887</v>
      </c>
    </row>
    <row r="8" spans="1:4" ht="84.75" customHeight="1">
      <c r="A8" s="1855"/>
      <c r="B8" s="835" t="s">
        <v>289</v>
      </c>
      <c r="C8" s="836">
        <v>662130</v>
      </c>
      <c r="D8" s="837" t="s">
        <v>888</v>
      </c>
    </row>
    <row r="9" spans="1:4" ht="22.5" customHeight="1">
      <c r="A9" s="1855"/>
      <c r="B9" s="1857" t="s">
        <v>11</v>
      </c>
      <c r="C9" s="838">
        <v>50000</v>
      </c>
      <c r="D9" s="839" t="s">
        <v>889</v>
      </c>
    </row>
    <row r="10" spans="1:4" ht="19.5" customHeight="1">
      <c r="A10" s="1856"/>
      <c r="B10" s="1858"/>
      <c r="C10" s="838">
        <v>7000</v>
      </c>
      <c r="D10" s="839" t="s">
        <v>890</v>
      </c>
    </row>
    <row r="11" spans="1:4" ht="20.25" customHeight="1">
      <c r="A11" s="1841">
        <v>710</v>
      </c>
      <c r="B11" s="840">
        <v>71012</v>
      </c>
      <c r="C11" s="838">
        <v>723000</v>
      </c>
      <c r="D11" s="841" t="s">
        <v>891</v>
      </c>
    </row>
    <row r="12" spans="1:4" ht="75.75" customHeight="1">
      <c r="A12" s="1842"/>
      <c r="B12" s="840">
        <v>71013</v>
      </c>
      <c r="C12" s="838">
        <v>1103127</v>
      </c>
      <c r="D12" s="841" t="s">
        <v>892</v>
      </c>
    </row>
    <row r="13" spans="1:4" ht="35.25" customHeight="1" thickBot="1">
      <c r="A13" s="842">
        <v>750</v>
      </c>
      <c r="B13" s="840">
        <v>75011</v>
      </c>
      <c r="C13" s="838">
        <v>1199651</v>
      </c>
      <c r="D13" s="837" t="s">
        <v>893</v>
      </c>
    </row>
    <row r="14" spans="1:4" ht="31.5" customHeight="1" thickBot="1">
      <c r="A14" s="1843" t="s">
        <v>894</v>
      </c>
      <c r="B14" s="1844"/>
      <c r="C14" s="843">
        <f>SUM(C7:C13)</f>
        <v>3815936</v>
      </c>
      <c r="D14" s="844"/>
    </row>
  </sheetData>
  <mergeCells count="9">
    <mergeCell ref="A11:A12"/>
    <mergeCell ref="A14:B14"/>
    <mergeCell ref="A2:D3"/>
    <mergeCell ref="A5:A6"/>
    <mergeCell ref="B5:B6"/>
    <mergeCell ref="C5:C6"/>
    <mergeCell ref="D5:D6"/>
    <mergeCell ref="A7:A10"/>
    <mergeCell ref="B9:B10"/>
  </mergeCells>
  <printOptions horizontalCentered="1"/>
  <pageMargins left="0.78740157480314965" right="0.39370078740157483" top="0.39370078740157483" bottom="0.39370078740157483" header="0.51181102362204722" footer="0.43307086614173229"/>
  <pageSetup paperSize="9" scale="90" orientation="landscape" r:id="rId1"/>
  <headerFooter>
    <oddFooter>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G294"/>
  <sheetViews>
    <sheetView view="pageBreakPreview" zoomScale="90" zoomScaleNormal="75" zoomScaleSheetLayoutView="90" workbookViewId="0">
      <selection activeCell="I2" sqref="I2"/>
    </sheetView>
  </sheetViews>
  <sheetFormatPr defaultRowHeight="15.75"/>
  <cols>
    <col min="1" max="1" width="8.140625" style="829" customWidth="1"/>
    <col min="2" max="2" width="10.42578125" style="829" customWidth="1"/>
    <col min="3" max="3" width="9.42578125" style="827" customWidth="1"/>
    <col min="4" max="4" width="36.5703125" style="11" customWidth="1"/>
    <col min="5" max="5" width="12.140625" style="11" bestFit="1" customWidth="1"/>
    <col min="6" max="6" width="15.7109375" style="11" customWidth="1"/>
    <col min="7" max="7" width="16.5703125" style="11" customWidth="1"/>
    <col min="8" max="16384" width="9.140625" style="11"/>
  </cols>
  <sheetData>
    <row r="1" spans="1:7" ht="57" customHeight="1">
      <c r="A1" s="188"/>
      <c r="B1" s="188"/>
      <c r="C1" s="845"/>
      <c r="D1" s="846"/>
      <c r="E1" s="1879" t="s">
        <v>1073</v>
      </c>
      <c r="F1" s="1879"/>
      <c r="G1" s="1879"/>
    </row>
    <row r="2" spans="1:7" ht="84.75" customHeight="1" thickBot="1">
      <c r="A2" s="1661" t="s">
        <v>1039</v>
      </c>
      <c r="B2" s="1661"/>
      <c r="C2" s="1661"/>
      <c r="D2" s="1661"/>
      <c r="E2" s="1661"/>
      <c r="F2" s="1661"/>
      <c r="G2" s="1661"/>
    </row>
    <row r="3" spans="1:7" ht="35.25" customHeight="1">
      <c r="A3" s="1880" t="s">
        <v>0</v>
      </c>
      <c r="B3" s="1882" t="s">
        <v>1</v>
      </c>
      <c r="C3" s="1882" t="s">
        <v>8</v>
      </c>
      <c r="D3" s="1884" t="s">
        <v>119</v>
      </c>
      <c r="E3" s="1886" t="s">
        <v>895</v>
      </c>
      <c r="F3" s="1887" t="s">
        <v>896</v>
      </c>
      <c r="G3" s="1888"/>
    </row>
    <row r="4" spans="1:7" ht="28.5" customHeight="1" thickBot="1">
      <c r="A4" s="1881"/>
      <c r="B4" s="1883"/>
      <c r="C4" s="1883"/>
      <c r="D4" s="1885"/>
      <c r="E4" s="1883"/>
      <c r="F4" s="847" t="s">
        <v>897</v>
      </c>
      <c r="G4" s="848" t="s">
        <v>898</v>
      </c>
    </row>
    <row r="5" spans="1:7" ht="31.5" customHeight="1" thickBot="1">
      <c r="A5" s="1864" t="s">
        <v>5</v>
      </c>
      <c r="B5" s="1867" t="s">
        <v>695</v>
      </c>
      <c r="C5" s="1868"/>
      <c r="D5" s="1869"/>
      <c r="E5" s="849">
        <f>SUM(E6)</f>
        <v>64211</v>
      </c>
      <c r="F5" s="850">
        <f>SUM(F6)</f>
        <v>61000</v>
      </c>
      <c r="G5" s="851">
        <f>SUM(G6)</f>
        <v>3211</v>
      </c>
    </row>
    <row r="6" spans="1:7" ht="29.25" customHeight="1">
      <c r="A6" s="1865"/>
      <c r="B6" s="1870" t="s">
        <v>277</v>
      </c>
      <c r="C6" s="1873" t="s">
        <v>278</v>
      </c>
      <c r="D6" s="1874"/>
      <c r="E6" s="852">
        <f>SUM(E7:E8)</f>
        <v>64211</v>
      </c>
      <c r="F6" s="853">
        <f>SUM(F7:F8)</f>
        <v>61000</v>
      </c>
      <c r="G6" s="854">
        <f>SUM(G7:G8)</f>
        <v>3211</v>
      </c>
    </row>
    <row r="7" spans="1:7" ht="27.75" customHeight="1">
      <c r="A7" s="1865"/>
      <c r="B7" s="1871"/>
      <c r="C7" s="855">
        <v>2350</v>
      </c>
      <c r="D7" s="856"/>
      <c r="E7" s="857">
        <f>F7+G7</f>
        <v>61000</v>
      </c>
      <c r="F7" s="858">
        <v>61000</v>
      </c>
      <c r="G7" s="859"/>
    </row>
    <row r="8" spans="1:7" ht="27.75" customHeight="1" thickBot="1">
      <c r="A8" s="1866"/>
      <c r="B8" s="1872"/>
      <c r="C8" s="860">
        <v>2360</v>
      </c>
      <c r="D8" s="861"/>
      <c r="E8" s="857">
        <f>F8+G8</f>
        <v>3211</v>
      </c>
      <c r="F8" s="862"/>
      <c r="G8" s="863">
        <v>3211</v>
      </c>
    </row>
    <row r="9" spans="1:7" ht="31.5" customHeight="1" thickBot="1">
      <c r="A9" s="1864" t="s">
        <v>727</v>
      </c>
      <c r="B9" s="1867" t="s">
        <v>728</v>
      </c>
      <c r="C9" s="1868"/>
      <c r="D9" s="1869"/>
      <c r="E9" s="849">
        <f>SUM(E10)</f>
        <v>27369</v>
      </c>
      <c r="F9" s="850">
        <f>SUM(F10)</f>
        <v>26000</v>
      </c>
      <c r="G9" s="851">
        <f>SUM(G10)</f>
        <v>1369</v>
      </c>
    </row>
    <row r="10" spans="1:7" ht="29.25" customHeight="1">
      <c r="A10" s="1865"/>
      <c r="B10" s="1870" t="s">
        <v>729</v>
      </c>
      <c r="C10" s="1873" t="s">
        <v>332</v>
      </c>
      <c r="D10" s="1874"/>
      <c r="E10" s="852">
        <f>SUM(E11:E12)</f>
        <v>27369</v>
      </c>
      <c r="F10" s="853">
        <f>SUM(F11:F12)</f>
        <v>26000</v>
      </c>
      <c r="G10" s="854">
        <f>SUM(G11:G12)</f>
        <v>1369</v>
      </c>
    </row>
    <row r="11" spans="1:7" ht="27.75" customHeight="1">
      <c r="A11" s="1865"/>
      <c r="B11" s="1871"/>
      <c r="C11" s="864">
        <v>2350</v>
      </c>
      <c r="D11" s="856"/>
      <c r="E11" s="857">
        <f>F11+G11</f>
        <v>26000</v>
      </c>
      <c r="F11" s="858">
        <v>26000</v>
      </c>
      <c r="G11" s="859"/>
    </row>
    <row r="12" spans="1:7" ht="27.75" customHeight="1" thickBot="1">
      <c r="A12" s="1866"/>
      <c r="B12" s="1872"/>
      <c r="C12" s="865">
        <v>2360</v>
      </c>
      <c r="D12" s="861"/>
      <c r="E12" s="857">
        <f>F12+G12</f>
        <v>1369</v>
      </c>
      <c r="F12" s="862"/>
      <c r="G12" s="863">
        <v>1369</v>
      </c>
    </row>
    <row r="13" spans="1:7" ht="31.5" customHeight="1" thickBot="1">
      <c r="A13" s="1864" t="s">
        <v>16</v>
      </c>
      <c r="B13" s="1867" t="s">
        <v>733</v>
      </c>
      <c r="C13" s="1868"/>
      <c r="D13" s="1869"/>
      <c r="E13" s="849">
        <f>SUM(E14)</f>
        <v>63158</v>
      </c>
      <c r="F13" s="850">
        <f>SUM(F14)</f>
        <v>60000</v>
      </c>
      <c r="G13" s="851">
        <f>SUM(G14)</f>
        <v>3158</v>
      </c>
    </row>
    <row r="14" spans="1:7" ht="29.25" customHeight="1">
      <c r="A14" s="1865"/>
      <c r="B14" s="1870" t="s">
        <v>386</v>
      </c>
      <c r="C14" s="1873" t="s">
        <v>332</v>
      </c>
      <c r="D14" s="1874"/>
      <c r="E14" s="852">
        <f>SUM(E15:E16)</f>
        <v>63158</v>
      </c>
      <c r="F14" s="853">
        <f>SUM(F15:F16)</f>
        <v>60000</v>
      </c>
      <c r="G14" s="854">
        <f>SUM(G15:G16)</f>
        <v>3158</v>
      </c>
    </row>
    <row r="15" spans="1:7" ht="27.75" customHeight="1">
      <c r="A15" s="1865"/>
      <c r="B15" s="1871"/>
      <c r="C15" s="864">
        <v>2350</v>
      </c>
      <c r="D15" s="856"/>
      <c r="E15" s="857">
        <f>F15+G15</f>
        <v>60000</v>
      </c>
      <c r="F15" s="858">
        <v>60000</v>
      </c>
      <c r="G15" s="859"/>
    </row>
    <row r="16" spans="1:7" ht="27.75" customHeight="1" thickBot="1">
      <c r="A16" s="1866"/>
      <c r="B16" s="1872"/>
      <c r="C16" s="865">
        <v>2360</v>
      </c>
      <c r="D16" s="861"/>
      <c r="E16" s="857">
        <f>F16+G16</f>
        <v>3158</v>
      </c>
      <c r="F16" s="862"/>
      <c r="G16" s="863">
        <v>3158</v>
      </c>
    </row>
    <row r="17" spans="1:7" ht="33.75" customHeight="1" thickBot="1">
      <c r="A17" s="1864" t="s">
        <v>401</v>
      </c>
      <c r="B17" s="1867" t="s">
        <v>899</v>
      </c>
      <c r="C17" s="1868"/>
      <c r="D17" s="1869"/>
      <c r="E17" s="849">
        <f t="shared" ref="E17:G17" si="0">SUM(E18)</f>
        <v>13685</v>
      </c>
      <c r="F17" s="850">
        <f t="shared" si="0"/>
        <v>13000</v>
      </c>
      <c r="G17" s="851">
        <f t="shared" si="0"/>
        <v>685</v>
      </c>
    </row>
    <row r="18" spans="1:7" ht="25.5" customHeight="1">
      <c r="A18" s="1865"/>
      <c r="B18" s="1870" t="s">
        <v>407</v>
      </c>
      <c r="C18" s="1873" t="s">
        <v>408</v>
      </c>
      <c r="D18" s="1874"/>
      <c r="E18" s="852">
        <f>SUM(E19:E20)</f>
        <v>13685</v>
      </c>
      <c r="F18" s="853">
        <f>SUM(F19:F20)</f>
        <v>13000</v>
      </c>
      <c r="G18" s="854">
        <f>SUM(G19:G20)</f>
        <v>685</v>
      </c>
    </row>
    <row r="19" spans="1:7" ht="29.25" customHeight="1">
      <c r="A19" s="1865"/>
      <c r="B19" s="1871"/>
      <c r="C19" s="864">
        <v>2350</v>
      </c>
      <c r="D19" s="856"/>
      <c r="E19" s="857">
        <f>F19+G19</f>
        <v>13000</v>
      </c>
      <c r="F19" s="858">
        <v>13000</v>
      </c>
      <c r="G19" s="859"/>
    </row>
    <row r="20" spans="1:7" ht="29.25" customHeight="1" thickBot="1">
      <c r="A20" s="1866"/>
      <c r="B20" s="1872"/>
      <c r="C20" s="860">
        <v>2360</v>
      </c>
      <c r="D20" s="866"/>
      <c r="E20" s="857">
        <f>F20+G20</f>
        <v>685</v>
      </c>
      <c r="F20" s="862"/>
      <c r="G20" s="863">
        <v>685</v>
      </c>
    </row>
    <row r="21" spans="1:7" ht="33.75" customHeight="1" thickBot="1">
      <c r="A21" s="1864" t="s">
        <v>7</v>
      </c>
      <c r="B21" s="1867" t="s">
        <v>42</v>
      </c>
      <c r="C21" s="1868"/>
      <c r="D21" s="1869"/>
      <c r="E21" s="849">
        <f t="shared" ref="E21:G21" si="1">SUM(E22)</f>
        <v>21053</v>
      </c>
      <c r="F21" s="850">
        <f t="shared" si="1"/>
        <v>20000</v>
      </c>
      <c r="G21" s="851">
        <f t="shared" si="1"/>
        <v>1053</v>
      </c>
    </row>
    <row r="22" spans="1:7" ht="25.5" customHeight="1">
      <c r="A22" s="1865"/>
      <c r="B22" s="1870" t="s">
        <v>456</v>
      </c>
      <c r="C22" s="1873" t="s">
        <v>457</v>
      </c>
      <c r="D22" s="1874"/>
      <c r="E22" s="852">
        <f>SUM(E23:E24)</f>
        <v>21053</v>
      </c>
      <c r="F22" s="853">
        <f>SUM(F23:F24)</f>
        <v>20000</v>
      </c>
      <c r="G22" s="854">
        <f>SUM(G23:G24)</f>
        <v>1053</v>
      </c>
    </row>
    <row r="23" spans="1:7" ht="29.25" customHeight="1">
      <c r="A23" s="1865"/>
      <c r="B23" s="1871"/>
      <c r="C23" s="864">
        <v>2350</v>
      </c>
      <c r="D23" s="856"/>
      <c r="E23" s="857">
        <f>F23+G23</f>
        <v>20000</v>
      </c>
      <c r="F23" s="858">
        <v>20000</v>
      </c>
      <c r="G23" s="859"/>
    </row>
    <row r="24" spans="1:7" ht="29.25" customHeight="1" thickBot="1">
      <c r="A24" s="1866"/>
      <c r="B24" s="1872"/>
      <c r="C24" s="860">
        <v>2360</v>
      </c>
      <c r="D24" s="866"/>
      <c r="E24" s="857">
        <f>F24+G24</f>
        <v>1053</v>
      </c>
      <c r="F24" s="862"/>
      <c r="G24" s="863">
        <v>1053</v>
      </c>
    </row>
    <row r="25" spans="1:7" ht="33.75" customHeight="1" thickBot="1">
      <c r="A25" s="1875" t="s">
        <v>632</v>
      </c>
      <c r="B25" s="1867" t="s">
        <v>835</v>
      </c>
      <c r="C25" s="1868"/>
      <c r="D25" s="1869"/>
      <c r="E25" s="849">
        <f>SUM(E26)</f>
        <v>73684</v>
      </c>
      <c r="F25" s="850">
        <f>SUM(F26)</f>
        <v>70000</v>
      </c>
      <c r="G25" s="851">
        <f>SUM(G26)</f>
        <v>3684</v>
      </c>
    </row>
    <row r="26" spans="1:7" ht="27" customHeight="1" thickBot="1">
      <c r="A26" s="1875"/>
      <c r="B26" s="1876" t="s">
        <v>640</v>
      </c>
      <c r="C26" s="1878" t="s">
        <v>641</v>
      </c>
      <c r="D26" s="1878"/>
      <c r="E26" s="852">
        <f>SUM(E27:E28)</f>
        <v>73684</v>
      </c>
      <c r="F26" s="853">
        <f>SUM(F27:F28)</f>
        <v>70000</v>
      </c>
      <c r="G26" s="854">
        <f>SUM(G27:G28)</f>
        <v>3684</v>
      </c>
    </row>
    <row r="27" spans="1:7" ht="27" customHeight="1" thickBot="1">
      <c r="A27" s="1875"/>
      <c r="B27" s="1871"/>
      <c r="C27" s="864">
        <v>2350</v>
      </c>
      <c r="D27" s="856"/>
      <c r="E27" s="857">
        <f>F27+G27</f>
        <v>70000</v>
      </c>
      <c r="F27" s="867">
        <v>70000</v>
      </c>
      <c r="G27" s="868"/>
    </row>
    <row r="28" spans="1:7" ht="29.25" customHeight="1" thickBot="1">
      <c r="A28" s="1875"/>
      <c r="B28" s="1877"/>
      <c r="C28" s="869" t="s">
        <v>337</v>
      </c>
      <c r="D28" s="856"/>
      <c r="E28" s="857">
        <f>F28+G28</f>
        <v>3684</v>
      </c>
      <c r="F28" s="858"/>
      <c r="G28" s="859">
        <v>3684</v>
      </c>
    </row>
    <row r="29" spans="1:7" ht="30" customHeight="1" thickBot="1">
      <c r="A29" s="1859" t="s">
        <v>46</v>
      </c>
      <c r="B29" s="1860"/>
      <c r="C29" s="1861"/>
      <c r="D29" s="1862"/>
      <c r="E29" s="870">
        <f>SUM(E5,E13,E21,E25,E9,E17)</f>
        <v>263160</v>
      </c>
      <c r="F29" s="871">
        <f>SUM(F25,F21,F13,F5,F9,F17)</f>
        <v>250000</v>
      </c>
      <c r="G29" s="871">
        <f>SUM(G25,G21,G13,G5,G9,G17)</f>
        <v>13160</v>
      </c>
    </row>
    <row r="30" spans="1:7">
      <c r="A30" s="872"/>
      <c r="B30" s="872"/>
      <c r="C30" s="873"/>
      <c r="D30" s="874"/>
      <c r="E30" s="875"/>
      <c r="F30" s="876"/>
      <c r="G30" s="874"/>
    </row>
    <row r="31" spans="1:7">
      <c r="A31" s="872"/>
      <c r="B31" s="872"/>
      <c r="C31" s="873"/>
      <c r="D31" s="874"/>
      <c r="E31" s="875"/>
      <c r="F31" s="876"/>
      <c r="G31" s="874"/>
    </row>
    <row r="32" spans="1:7">
      <c r="A32" s="877"/>
      <c r="B32" s="877"/>
      <c r="C32" s="825"/>
      <c r="F32" s="768"/>
    </row>
    <row r="33" spans="1:6">
      <c r="A33" s="877"/>
      <c r="B33" s="877"/>
      <c r="C33" s="825"/>
      <c r="F33" s="768"/>
    </row>
    <row r="34" spans="1:6">
      <c r="A34" s="877"/>
      <c r="B34" s="877"/>
      <c r="C34" s="825"/>
      <c r="F34" s="768"/>
    </row>
    <row r="35" spans="1:6">
      <c r="A35" s="1863"/>
      <c r="B35" s="1863"/>
      <c r="C35" s="1863"/>
      <c r="D35" s="1863"/>
      <c r="E35" s="1863"/>
      <c r="F35" s="1863"/>
    </row>
    <row r="36" spans="1:6">
      <c r="A36" s="877"/>
      <c r="B36" s="877"/>
      <c r="C36" s="825"/>
      <c r="F36" s="768"/>
    </row>
    <row r="37" spans="1:6">
      <c r="A37" s="877"/>
      <c r="B37" s="877"/>
      <c r="C37" s="825"/>
      <c r="F37" s="768"/>
    </row>
    <row r="38" spans="1:6">
      <c r="A38" s="877"/>
      <c r="B38" s="877"/>
      <c r="C38" s="825"/>
      <c r="F38" s="768"/>
    </row>
    <row r="39" spans="1:6">
      <c r="A39" s="877"/>
      <c r="B39" s="877"/>
      <c r="C39" s="825"/>
      <c r="F39" s="768"/>
    </row>
    <row r="40" spans="1:6">
      <c r="A40" s="877"/>
      <c r="B40" s="877"/>
      <c r="C40" s="825"/>
      <c r="F40" s="768"/>
    </row>
    <row r="41" spans="1:6">
      <c r="A41" s="877"/>
      <c r="B41" s="877"/>
      <c r="C41" s="825"/>
      <c r="F41" s="768"/>
    </row>
    <row r="42" spans="1:6">
      <c r="A42" s="877"/>
      <c r="B42" s="877"/>
      <c r="C42" s="825"/>
      <c r="F42" s="768"/>
    </row>
    <row r="43" spans="1:6">
      <c r="C43" s="825"/>
      <c r="F43" s="768"/>
    </row>
    <row r="44" spans="1:6">
      <c r="C44" s="825"/>
      <c r="F44" s="768"/>
    </row>
    <row r="45" spans="1:6">
      <c r="C45" s="825"/>
      <c r="F45" s="768"/>
    </row>
    <row r="46" spans="1:6">
      <c r="C46" s="825"/>
      <c r="F46" s="768"/>
    </row>
    <row r="47" spans="1:6">
      <c r="C47" s="825"/>
      <c r="F47" s="768"/>
    </row>
    <row r="48" spans="1:6">
      <c r="C48" s="825"/>
      <c r="F48" s="768"/>
    </row>
    <row r="49" spans="3:6">
      <c r="C49" s="825"/>
      <c r="F49" s="768"/>
    </row>
    <row r="50" spans="3:6">
      <c r="C50" s="825"/>
      <c r="F50" s="768"/>
    </row>
    <row r="51" spans="3:6">
      <c r="C51" s="825"/>
      <c r="F51" s="768"/>
    </row>
    <row r="52" spans="3:6">
      <c r="C52" s="825"/>
      <c r="F52" s="768"/>
    </row>
    <row r="53" spans="3:6">
      <c r="C53" s="825"/>
      <c r="F53" s="768"/>
    </row>
    <row r="54" spans="3:6">
      <c r="C54" s="825"/>
      <c r="F54" s="768"/>
    </row>
    <row r="55" spans="3:6">
      <c r="C55" s="825"/>
      <c r="F55" s="768"/>
    </row>
    <row r="56" spans="3:6">
      <c r="C56" s="825"/>
      <c r="F56" s="768"/>
    </row>
    <row r="57" spans="3:6">
      <c r="C57" s="825"/>
      <c r="F57" s="768"/>
    </row>
    <row r="58" spans="3:6">
      <c r="C58" s="825"/>
      <c r="F58" s="768"/>
    </row>
    <row r="186" spans="4:4">
      <c r="D186" s="828">
        <f>115000000+12000000</f>
        <v>127000000</v>
      </c>
    </row>
    <row r="294" spans="4:4">
      <c r="D294" s="828"/>
    </row>
  </sheetData>
  <mergeCells count="34">
    <mergeCell ref="E1:G1"/>
    <mergeCell ref="A2:G2"/>
    <mergeCell ref="A3:A4"/>
    <mergeCell ref="B3:B4"/>
    <mergeCell ref="C3:C4"/>
    <mergeCell ref="D3:D4"/>
    <mergeCell ref="E3:E4"/>
    <mergeCell ref="F3:G3"/>
    <mergeCell ref="A5:A8"/>
    <mergeCell ref="B5:D5"/>
    <mergeCell ref="B6:B8"/>
    <mergeCell ref="C6:D6"/>
    <mergeCell ref="A9:A12"/>
    <mergeCell ref="B9:D9"/>
    <mergeCell ref="B10:B12"/>
    <mergeCell ref="C10:D10"/>
    <mergeCell ref="A13:A16"/>
    <mergeCell ref="B13:D13"/>
    <mergeCell ref="B14:B16"/>
    <mergeCell ref="C14:D14"/>
    <mergeCell ref="A17:A20"/>
    <mergeCell ref="B17:D17"/>
    <mergeCell ref="B18:B20"/>
    <mergeCell ref="C18:D18"/>
    <mergeCell ref="A29:D29"/>
    <mergeCell ref="A35:F35"/>
    <mergeCell ref="A21:A24"/>
    <mergeCell ref="B21:D21"/>
    <mergeCell ref="B22:B24"/>
    <mergeCell ref="C22:D22"/>
    <mergeCell ref="A25:A28"/>
    <mergeCell ref="B25:D25"/>
    <mergeCell ref="B26:B28"/>
    <mergeCell ref="C26:D26"/>
  </mergeCells>
  <printOptions horizontalCentered="1"/>
  <pageMargins left="0.59055118110236227" right="0" top="0.78740157480314965" bottom="0.78740157480314965" header="0.51181102362204722" footer="0.51181102362204722"/>
  <pageSetup paperSize="9" scale="80" orientation="portrait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H1838"/>
  <sheetViews>
    <sheetView showGridLines="0" view="pageBreakPreview" zoomScaleNormal="110" zoomScaleSheetLayoutView="100" workbookViewId="0">
      <selection activeCell="E1" sqref="E1:F1"/>
    </sheetView>
  </sheetViews>
  <sheetFormatPr defaultRowHeight="12.75"/>
  <cols>
    <col min="1" max="1" width="5.5703125" style="329" bestFit="1" customWidth="1"/>
    <col min="2" max="2" width="7.85546875" style="329" hidden="1" customWidth="1"/>
    <col min="3" max="3" width="11.42578125" style="329" customWidth="1"/>
    <col min="4" max="4" width="12.85546875" style="329" bestFit="1" customWidth="1"/>
    <col min="5" max="5" width="71.85546875" style="329" customWidth="1"/>
    <col min="6" max="6" width="14.140625" style="329" customWidth="1"/>
    <col min="7" max="7" width="20.140625" style="329" customWidth="1"/>
    <col min="8" max="8" width="14.140625" style="329" customWidth="1"/>
    <col min="9" max="16384" width="9.140625" style="329"/>
  </cols>
  <sheetData>
    <row r="1" spans="1:6" ht="46.5" customHeight="1">
      <c r="A1" s="328"/>
      <c r="B1" s="328"/>
      <c r="C1" s="328"/>
      <c r="D1" s="328"/>
      <c r="E1" s="1271" t="s">
        <v>1058</v>
      </c>
      <c r="F1" s="1272"/>
    </row>
    <row r="2" spans="1:6" ht="17.25" customHeight="1">
      <c r="A2" s="328"/>
      <c r="B2" s="328"/>
      <c r="C2" s="328"/>
      <c r="D2" s="328"/>
      <c r="E2" s="330"/>
      <c r="F2" s="331"/>
    </row>
    <row r="3" spans="1:6" s="332" customFormat="1" ht="40.5" customHeight="1">
      <c r="A3" s="1273" t="s">
        <v>202</v>
      </c>
      <c r="B3" s="1273"/>
      <c r="C3" s="1273"/>
      <c r="D3" s="1273"/>
      <c r="E3" s="1273"/>
      <c r="F3" s="1273"/>
    </row>
    <row r="4" spans="1:6" ht="42.75" customHeight="1">
      <c r="A4" s="908" t="s">
        <v>0</v>
      </c>
      <c r="B4" s="1274" t="s">
        <v>1</v>
      </c>
      <c r="C4" s="1275"/>
      <c r="D4" s="909" t="s">
        <v>8</v>
      </c>
      <c r="E4" s="909" t="s">
        <v>203</v>
      </c>
      <c r="F4" s="336" t="s">
        <v>204</v>
      </c>
    </row>
    <row r="5" spans="1:6" ht="17.100000000000001" customHeight="1">
      <c r="A5" s="899" t="s">
        <v>205</v>
      </c>
      <c r="B5" s="334"/>
      <c r="C5" s="335" t="s">
        <v>206</v>
      </c>
      <c r="D5" s="333" t="s">
        <v>207</v>
      </c>
      <c r="E5" s="333" t="s">
        <v>208</v>
      </c>
      <c r="F5" s="336" t="s">
        <v>209</v>
      </c>
    </row>
    <row r="6" spans="1:6" ht="17.100000000000001" customHeight="1">
      <c r="A6" s="900" t="s">
        <v>5</v>
      </c>
      <c r="B6" s="1276"/>
      <c r="C6" s="1277"/>
      <c r="D6" s="337"/>
      <c r="E6" s="338" t="s">
        <v>210</v>
      </c>
      <c r="F6" s="339">
        <f>F7+F44+F55+F90+F125+F129+F177+F193+F202</f>
        <v>96763009</v>
      </c>
    </row>
    <row r="7" spans="1:6" ht="17.100000000000001" customHeight="1">
      <c r="A7" s="901"/>
      <c r="B7" s="1278" t="s">
        <v>211</v>
      </c>
      <c r="C7" s="1279"/>
      <c r="D7" s="340"/>
      <c r="E7" s="341" t="s">
        <v>212</v>
      </c>
      <c r="F7" s="342">
        <f>F8+F40</f>
        <v>10100640</v>
      </c>
    </row>
    <row r="8" spans="1:6" ht="17.100000000000001" customHeight="1">
      <c r="A8" s="901"/>
      <c r="B8" s="1280"/>
      <c r="C8" s="1281"/>
      <c r="D8" s="1284" t="s">
        <v>213</v>
      </c>
      <c r="E8" s="1285"/>
      <c r="F8" s="343">
        <f>F9+F37</f>
        <v>10050640</v>
      </c>
    </row>
    <row r="9" spans="1:6" ht="17.100000000000001" customHeight="1">
      <c r="A9" s="901"/>
      <c r="B9" s="1282"/>
      <c r="C9" s="1283"/>
      <c r="D9" s="1286" t="s">
        <v>214</v>
      </c>
      <c r="E9" s="1287"/>
      <c r="F9" s="344">
        <f>F10+F17</f>
        <v>10000640</v>
      </c>
    </row>
    <row r="10" spans="1:6" ht="17.100000000000001" customHeight="1">
      <c r="A10" s="901"/>
      <c r="B10" s="1282"/>
      <c r="C10" s="1283"/>
      <c r="D10" s="1288" t="s">
        <v>215</v>
      </c>
      <c r="E10" s="1289"/>
      <c r="F10" s="345">
        <f>SUM(F11:F15)</f>
        <v>8561765</v>
      </c>
    </row>
    <row r="11" spans="1:6" ht="17.100000000000001" customHeight="1">
      <c r="A11" s="901"/>
      <c r="B11" s="1267"/>
      <c r="C11" s="1268"/>
      <c r="D11" s="472" t="s">
        <v>216</v>
      </c>
      <c r="E11" s="346" t="s">
        <v>217</v>
      </c>
      <c r="F11" s="347">
        <f>6660200</f>
        <v>6660200</v>
      </c>
    </row>
    <row r="12" spans="1:6" ht="17.100000000000001" customHeight="1">
      <c r="A12" s="901"/>
      <c r="B12" s="1267"/>
      <c r="C12" s="1268"/>
      <c r="D12" s="472" t="s">
        <v>218</v>
      </c>
      <c r="E12" s="346" t="s">
        <v>219</v>
      </c>
      <c r="F12" s="347">
        <f>522000</f>
        <v>522000</v>
      </c>
    </row>
    <row r="13" spans="1:6" ht="17.100000000000001" customHeight="1">
      <c r="A13" s="901"/>
      <c r="B13" s="1267"/>
      <c r="C13" s="1268"/>
      <c r="D13" s="472" t="s">
        <v>220</v>
      </c>
      <c r="E13" s="346" t="s">
        <v>221</v>
      </c>
      <c r="F13" s="347">
        <f>1179240</f>
        <v>1179240</v>
      </c>
    </row>
    <row r="14" spans="1:6" ht="17.100000000000001" customHeight="1">
      <c r="A14" s="901"/>
      <c r="B14" s="1267"/>
      <c r="C14" s="1268"/>
      <c r="D14" s="472" t="s">
        <v>222</v>
      </c>
      <c r="E14" s="346" t="s">
        <v>223</v>
      </c>
      <c r="F14" s="347">
        <f>118325</f>
        <v>118325</v>
      </c>
    </row>
    <row r="15" spans="1:6" ht="17.100000000000001" customHeight="1">
      <c r="A15" s="901"/>
      <c r="B15" s="1267"/>
      <c r="C15" s="1268"/>
      <c r="D15" s="472" t="s">
        <v>224</v>
      </c>
      <c r="E15" s="346" t="s">
        <v>225</v>
      </c>
      <c r="F15" s="347">
        <f>82000</f>
        <v>82000</v>
      </c>
    </row>
    <row r="16" spans="1:6" ht="17.100000000000001" customHeight="1">
      <c r="A16" s="901"/>
      <c r="B16" s="883"/>
      <c r="C16" s="462"/>
      <c r="D16" s="1267"/>
      <c r="E16" s="1269"/>
      <c r="F16" s="1270"/>
    </row>
    <row r="17" spans="1:6" ht="17.100000000000001" customHeight="1">
      <c r="A17" s="901"/>
      <c r="B17" s="883"/>
      <c r="C17" s="462"/>
      <c r="D17" s="1292" t="s">
        <v>226</v>
      </c>
      <c r="E17" s="1293"/>
      <c r="F17" s="345">
        <f>SUM(F18:F35)</f>
        <v>1438875</v>
      </c>
    </row>
    <row r="18" spans="1:6" ht="17.100000000000001" customHeight="1">
      <c r="A18" s="901"/>
      <c r="B18" s="883"/>
      <c r="C18" s="462"/>
      <c r="D18" s="472" t="s">
        <v>227</v>
      </c>
      <c r="E18" s="346" t="s">
        <v>228</v>
      </c>
      <c r="F18" s="347">
        <f>45000</f>
        <v>45000</v>
      </c>
    </row>
    <row r="19" spans="1:6" ht="17.100000000000001" customHeight="1">
      <c r="A19" s="901"/>
      <c r="B19" s="1267"/>
      <c r="C19" s="1268"/>
      <c r="D19" s="472" t="s">
        <v>229</v>
      </c>
      <c r="E19" s="346" t="s">
        <v>230</v>
      </c>
      <c r="F19" s="347">
        <f>414500</f>
        <v>414500</v>
      </c>
    </row>
    <row r="20" spans="1:6" ht="17.100000000000001" customHeight="1">
      <c r="A20" s="901"/>
      <c r="B20" s="1267"/>
      <c r="C20" s="1268"/>
      <c r="D20" s="472" t="s">
        <v>231</v>
      </c>
      <c r="E20" s="346" t="s">
        <v>232</v>
      </c>
      <c r="F20" s="347">
        <f>121200</f>
        <v>121200</v>
      </c>
    </row>
    <row r="21" spans="1:6" ht="17.100000000000001" customHeight="1">
      <c r="A21" s="901"/>
      <c r="B21" s="1267"/>
      <c r="C21" s="1268"/>
      <c r="D21" s="472" t="s">
        <v>233</v>
      </c>
      <c r="E21" s="346" t="s">
        <v>234</v>
      </c>
      <c r="F21" s="347">
        <v>55000</v>
      </c>
    </row>
    <row r="22" spans="1:6" ht="17.100000000000001" customHeight="1">
      <c r="A22" s="901"/>
      <c r="B22" s="1267"/>
      <c r="C22" s="1268"/>
      <c r="D22" s="472" t="s">
        <v>235</v>
      </c>
      <c r="E22" s="346" t="s">
        <v>236</v>
      </c>
      <c r="F22" s="347">
        <f>12000</f>
        <v>12000</v>
      </c>
    </row>
    <row r="23" spans="1:6" ht="17.100000000000001" customHeight="1">
      <c r="A23" s="901"/>
      <c r="B23" s="1267"/>
      <c r="C23" s="1268"/>
      <c r="D23" s="472" t="s">
        <v>237</v>
      </c>
      <c r="E23" s="346" t="s">
        <v>238</v>
      </c>
      <c r="F23" s="347">
        <f>170000</f>
        <v>170000</v>
      </c>
    </row>
    <row r="24" spans="1:6" ht="17.100000000000001" customHeight="1">
      <c r="A24" s="901"/>
      <c r="B24" s="1267"/>
      <c r="C24" s="1268"/>
      <c r="D24" s="472" t="s">
        <v>239</v>
      </c>
      <c r="E24" s="346" t="s">
        <v>240</v>
      </c>
      <c r="F24" s="347">
        <f>11000</f>
        <v>11000</v>
      </c>
    </row>
    <row r="25" spans="1:6" ht="30.75" customHeight="1">
      <c r="A25" s="901"/>
      <c r="B25" s="1267"/>
      <c r="C25" s="1268"/>
      <c r="D25" s="472" t="s">
        <v>241</v>
      </c>
      <c r="E25" s="346" t="s">
        <v>242</v>
      </c>
      <c r="F25" s="347">
        <f>20000</f>
        <v>20000</v>
      </c>
    </row>
    <row r="26" spans="1:6" ht="30.75" customHeight="1">
      <c r="A26" s="901"/>
      <c r="B26" s="1267"/>
      <c r="C26" s="1268"/>
      <c r="D26" s="472" t="s">
        <v>243</v>
      </c>
      <c r="E26" s="346" t="s">
        <v>244</v>
      </c>
      <c r="F26" s="347">
        <f>19000</f>
        <v>19000</v>
      </c>
    </row>
    <row r="27" spans="1:6" ht="18.75" customHeight="1">
      <c r="A27" s="901"/>
      <c r="B27" s="883"/>
      <c r="C27" s="462"/>
      <c r="D27" s="472" t="s">
        <v>245</v>
      </c>
      <c r="E27" s="346" t="s">
        <v>246</v>
      </c>
      <c r="F27" s="347">
        <f>15000</f>
        <v>15000</v>
      </c>
    </row>
    <row r="28" spans="1:6" ht="20.100000000000001" customHeight="1">
      <c r="A28" s="901"/>
      <c r="B28" s="1267"/>
      <c r="C28" s="1268"/>
      <c r="D28" s="472" t="s">
        <v>247</v>
      </c>
      <c r="E28" s="346" t="s">
        <v>248</v>
      </c>
      <c r="F28" s="347">
        <f>221000</f>
        <v>221000</v>
      </c>
    </row>
    <row r="29" spans="1:6" ht="17.100000000000001" customHeight="1">
      <c r="A29" s="901"/>
      <c r="B29" s="1267"/>
      <c r="C29" s="1268"/>
      <c r="D29" s="472" t="s">
        <v>249</v>
      </c>
      <c r="E29" s="346" t="s">
        <v>250</v>
      </c>
      <c r="F29" s="347">
        <f>150000</f>
        <v>150000</v>
      </c>
    </row>
    <row r="30" spans="1:6" ht="17.100000000000001" customHeight="1">
      <c r="A30" s="901"/>
      <c r="B30" s="1267"/>
      <c r="C30" s="1268"/>
      <c r="D30" s="472" t="s">
        <v>251</v>
      </c>
      <c r="E30" s="346" t="s">
        <v>252</v>
      </c>
      <c r="F30" s="347">
        <f>23125</f>
        <v>23125</v>
      </c>
    </row>
    <row r="31" spans="1:6" ht="17.100000000000001" customHeight="1">
      <c r="A31" s="901"/>
      <c r="B31" s="1267"/>
      <c r="C31" s="1268"/>
      <c r="D31" s="472" t="s">
        <v>253</v>
      </c>
      <c r="E31" s="346" t="s">
        <v>254</v>
      </c>
      <c r="F31" s="347">
        <f>135921</f>
        <v>135921</v>
      </c>
    </row>
    <row r="32" spans="1:6" ht="17.100000000000001" customHeight="1">
      <c r="A32" s="901"/>
      <c r="B32" s="1267"/>
      <c r="C32" s="1268"/>
      <c r="D32" s="472" t="s">
        <v>255</v>
      </c>
      <c r="E32" s="346" t="s">
        <v>256</v>
      </c>
      <c r="F32" s="347">
        <f>4000</f>
        <v>4000</v>
      </c>
    </row>
    <row r="33" spans="1:6" ht="17.100000000000001" customHeight="1">
      <c r="A33" s="901"/>
      <c r="B33" s="883"/>
      <c r="C33" s="462"/>
      <c r="D33" s="472" t="s">
        <v>257</v>
      </c>
      <c r="E33" s="346" t="s">
        <v>258</v>
      </c>
      <c r="F33" s="347">
        <f>6500</f>
        <v>6500</v>
      </c>
    </row>
    <row r="34" spans="1:6" ht="17.100000000000001" customHeight="1">
      <c r="A34" s="901"/>
      <c r="B34" s="1267"/>
      <c r="C34" s="1268"/>
      <c r="D34" s="472" t="s">
        <v>259</v>
      </c>
      <c r="E34" s="346" t="s">
        <v>260</v>
      </c>
      <c r="F34" s="347">
        <f>629</f>
        <v>629</v>
      </c>
    </row>
    <row r="35" spans="1:6" ht="17.100000000000001" customHeight="1">
      <c r="A35" s="901"/>
      <c r="B35" s="1267"/>
      <c r="C35" s="1268"/>
      <c r="D35" s="472" t="s">
        <v>261</v>
      </c>
      <c r="E35" s="346" t="s">
        <v>262</v>
      </c>
      <c r="F35" s="347">
        <f>15000</f>
        <v>15000</v>
      </c>
    </row>
    <row r="36" spans="1:6" ht="17.100000000000001" customHeight="1">
      <c r="A36" s="901"/>
      <c r="B36" s="883"/>
      <c r="C36" s="462"/>
      <c r="D36" s="1267"/>
      <c r="E36" s="1269"/>
      <c r="F36" s="1270"/>
    </row>
    <row r="37" spans="1:6" ht="17.100000000000001" customHeight="1">
      <c r="A37" s="901"/>
      <c r="B37" s="883"/>
      <c r="C37" s="462"/>
      <c r="D37" s="1290" t="s">
        <v>263</v>
      </c>
      <c r="E37" s="1291"/>
      <c r="F37" s="347">
        <f>F38</f>
        <v>50000</v>
      </c>
    </row>
    <row r="38" spans="1:6" ht="17.100000000000001" customHeight="1">
      <c r="A38" s="901"/>
      <c r="B38" s="883"/>
      <c r="C38" s="462"/>
      <c r="D38" s="472" t="s">
        <v>264</v>
      </c>
      <c r="E38" s="346" t="s">
        <v>265</v>
      </c>
      <c r="F38" s="347">
        <f>50000</f>
        <v>50000</v>
      </c>
    </row>
    <row r="39" spans="1:6" ht="17.100000000000001" customHeight="1">
      <c r="A39" s="901"/>
      <c r="B39" s="883"/>
      <c r="C39" s="462"/>
      <c r="D39" s="1267"/>
      <c r="E39" s="1269"/>
      <c r="F39" s="1270"/>
    </row>
    <row r="40" spans="1:6" ht="17.100000000000001" customHeight="1">
      <c r="A40" s="901"/>
      <c r="B40" s="883"/>
      <c r="C40" s="462"/>
      <c r="D40" s="1296" t="s">
        <v>266</v>
      </c>
      <c r="E40" s="1297"/>
      <c r="F40" s="343">
        <f>F41</f>
        <v>50000</v>
      </c>
    </row>
    <row r="41" spans="1:6" ht="17.100000000000001" customHeight="1">
      <c r="A41" s="901"/>
      <c r="B41" s="883"/>
      <c r="C41" s="462"/>
      <c r="D41" s="1298" t="s">
        <v>905</v>
      </c>
      <c r="E41" s="1291"/>
      <c r="F41" s="347">
        <f>F42+F43</f>
        <v>50000</v>
      </c>
    </row>
    <row r="42" spans="1:6" ht="17.100000000000001" hidden="1" customHeight="1">
      <c r="A42" s="901"/>
      <c r="B42" s="883"/>
      <c r="C42" s="460"/>
      <c r="D42" s="884" t="s">
        <v>268</v>
      </c>
      <c r="E42" s="461" t="s">
        <v>269</v>
      </c>
      <c r="F42" s="347"/>
    </row>
    <row r="43" spans="1:6" ht="17.100000000000001" customHeight="1">
      <c r="A43" s="901"/>
      <c r="B43" s="1299"/>
      <c r="C43" s="1300"/>
      <c r="D43" s="472" t="s">
        <v>270</v>
      </c>
      <c r="E43" s="346" t="s">
        <v>271</v>
      </c>
      <c r="F43" s="347">
        <f>50000</f>
        <v>50000</v>
      </c>
    </row>
    <row r="44" spans="1:6" ht="17.100000000000001" customHeight="1">
      <c r="A44" s="901"/>
      <c r="B44" s="1278" t="s">
        <v>272</v>
      </c>
      <c r="C44" s="1279"/>
      <c r="D44" s="340"/>
      <c r="E44" s="341" t="s">
        <v>273</v>
      </c>
      <c r="F44" s="342">
        <f>F45</f>
        <v>40000</v>
      </c>
    </row>
    <row r="45" spans="1:6" ht="17.100000000000001" customHeight="1">
      <c r="A45" s="901"/>
      <c r="B45" s="1280"/>
      <c r="C45" s="1301"/>
      <c r="D45" s="1284" t="s">
        <v>213</v>
      </c>
      <c r="E45" s="1285"/>
      <c r="F45" s="343">
        <f>F46</f>
        <v>40000</v>
      </c>
    </row>
    <row r="46" spans="1:6" ht="17.100000000000001" customHeight="1">
      <c r="A46" s="901"/>
      <c r="B46" s="1282"/>
      <c r="C46" s="1302"/>
      <c r="D46" s="1286" t="s">
        <v>214</v>
      </c>
      <c r="E46" s="1294"/>
      <c r="F46" s="347">
        <f>F47+F51</f>
        <v>40000</v>
      </c>
    </row>
    <row r="47" spans="1:6" ht="17.100000000000001" customHeight="1">
      <c r="A47" s="901"/>
      <c r="B47" s="1282"/>
      <c r="C47" s="1302"/>
      <c r="D47" s="1305" t="s">
        <v>215</v>
      </c>
      <c r="E47" s="1295"/>
      <c r="F47" s="347">
        <f>F48+F49+F50</f>
        <v>11725</v>
      </c>
    </row>
    <row r="48" spans="1:6" ht="17.100000000000001" customHeight="1">
      <c r="A48" s="901"/>
      <c r="B48" s="1282"/>
      <c r="C48" s="1302"/>
      <c r="D48" s="348" t="s">
        <v>216</v>
      </c>
      <c r="E48" s="346" t="s">
        <v>217</v>
      </c>
      <c r="F48" s="347">
        <f>9800</f>
        <v>9800</v>
      </c>
    </row>
    <row r="49" spans="1:6" ht="17.100000000000001" customHeight="1">
      <c r="A49" s="901"/>
      <c r="B49" s="1282"/>
      <c r="C49" s="1302"/>
      <c r="D49" s="349">
        <v>4110</v>
      </c>
      <c r="E49" s="346" t="s">
        <v>221</v>
      </c>
      <c r="F49" s="347">
        <f>1685</f>
        <v>1685</v>
      </c>
    </row>
    <row r="50" spans="1:6" ht="17.100000000000001" customHeight="1">
      <c r="A50" s="901"/>
      <c r="B50" s="1282"/>
      <c r="C50" s="1302"/>
      <c r="D50" s="350">
        <v>4120</v>
      </c>
      <c r="E50" s="346" t="s">
        <v>223</v>
      </c>
      <c r="F50" s="347">
        <f>240</f>
        <v>240</v>
      </c>
    </row>
    <row r="51" spans="1:6" ht="17.100000000000001" customHeight="1">
      <c r="A51" s="901"/>
      <c r="B51" s="1282"/>
      <c r="C51" s="1302"/>
      <c r="D51" s="1306" t="s">
        <v>226</v>
      </c>
      <c r="E51" s="1293"/>
      <c r="F51" s="343">
        <f>F52+F53+F54</f>
        <v>28275</v>
      </c>
    </row>
    <row r="52" spans="1:6" ht="17.100000000000001" customHeight="1">
      <c r="A52" s="901"/>
      <c r="B52" s="1282"/>
      <c r="C52" s="1302"/>
      <c r="D52" s="351" t="s">
        <v>229</v>
      </c>
      <c r="E52" s="461" t="s">
        <v>230</v>
      </c>
      <c r="F52" s="347">
        <f>17106</f>
        <v>17106</v>
      </c>
    </row>
    <row r="53" spans="1:6" ht="17.100000000000001" customHeight="1">
      <c r="A53" s="901"/>
      <c r="B53" s="1282"/>
      <c r="C53" s="1302"/>
      <c r="D53" s="352" t="s">
        <v>237</v>
      </c>
      <c r="E53" s="346" t="s">
        <v>238</v>
      </c>
      <c r="F53" s="347">
        <f>10000</f>
        <v>10000</v>
      </c>
    </row>
    <row r="54" spans="1:6" ht="17.100000000000001" customHeight="1">
      <c r="A54" s="901"/>
      <c r="B54" s="1303"/>
      <c r="C54" s="1304"/>
      <c r="D54" s="352" t="s">
        <v>249</v>
      </c>
      <c r="E54" s="346" t="s">
        <v>250</v>
      </c>
      <c r="F54" s="347">
        <f>1169</f>
        <v>1169</v>
      </c>
    </row>
    <row r="55" spans="1:6" ht="17.100000000000001" customHeight="1">
      <c r="A55" s="901"/>
      <c r="B55" s="1278" t="s">
        <v>274</v>
      </c>
      <c r="C55" s="1279"/>
      <c r="D55" s="340"/>
      <c r="E55" s="341" t="s">
        <v>275</v>
      </c>
      <c r="F55" s="342">
        <f>F56+F87</f>
        <v>11643558</v>
      </c>
    </row>
    <row r="56" spans="1:6" ht="17.100000000000001" customHeight="1">
      <c r="A56" s="901"/>
      <c r="B56" s="885"/>
      <c r="C56" s="468"/>
      <c r="D56" s="1284" t="s">
        <v>213</v>
      </c>
      <c r="E56" s="1285"/>
      <c r="F56" s="343">
        <f>F57+F84</f>
        <v>11611558</v>
      </c>
    </row>
    <row r="57" spans="1:6" ht="17.100000000000001" customHeight="1">
      <c r="A57" s="901"/>
      <c r="B57" s="883"/>
      <c r="C57" s="462"/>
      <c r="D57" s="1286" t="s">
        <v>214</v>
      </c>
      <c r="E57" s="1294"/>
      <c r="F57" s="347">
        <f>F58+F65</f>
        <v>11589508</v>
      </c>
    </row>
    <row r="58" spans="1:6" ht="17.100000000000001" customHeight="1">
      <c r="A58" s="901"/>
      <c r="B58" s="883"/>
      <c r="C58" s="462"/>
      <c r="D58" s="1288" t="s">
        <v>215</v>
      </c>
      <c r="E58" s="1295"/>
      <c r="F58" s="347">
        <f>SUM(F59:F63)</f>
        <v>10246446</v>
      </c>
    </row>
    <row r="59" spans="1:6" ht="17.100000000000001" customHeight="1">
      <c r="A59" s="901"/>
      <c r="B59" s="1267"/>
      <c r="C59" s="1268"/>
      <c r="D59" s="472" t="s">
        <v>216</v>
      </c>
      <c r="E59" s="346" t="s">
        <v>217</v>
      </c>
      <c r="F59" s="347">
        <f>8045768</f>
        <v>8045768</v>
      </c>
    </row>
    <row r="60" spans="1:6" ht="17.100000000000001" customHeight="1">
      <c r="A60" s="901"/>
      <c r="B60" s="1267"/>
      <c r="C60" s="1268"/>
      <c r="D60" s="472" t="s">
        <v>218</v>
      </c>
      <c r="E60" s="346" t="s">
        <v>219</v>
      </c>
      <c r="F60" s="347">
        <f>631000</f>
        <v>631000</v>
      </c>
    </row>
    <row r="61" spans="1:6" ht="17.100000000000001" customHeight="1">
      <c r="A61" s="901"/>
      <c r="B61" s="1267"/>
      <c r="C61" s="1268"/>
      <c r="D61" s="472" t="s">
        <v>220</v>
      </c>
      <c r="E61" s="346" t="s">
        <v>221</v>
      </c>
      <c r="F61" s="347">
        <f>1408412</f>
        <v>1408412</v>
      </c>
    </row>
    <row r="62" spans="1:6" ht="17.100000000000001" customHeight="1">
      <c r="A62" s="901"/>
      <c r="B62" s="1267"/>
      <c r="C62" s="1268"/>
      <c r="D62" s="472" t="s">
        <v>222</v>
      </c>
      <c r="E62" s="346" t="s">
        <v>223</v>
      </c>
      <c r="F62" s="347">
        <f>120766</f>
        <v>120766</v>
      </c>
    </row>
    <row r="63" spans="1:6" ht="17.100000000000001" customHeight="1">
      <c r="A63" s="901"/>
      <c r="B63" s="1267"/>
      <c r="C63" s="1268"/>
      <c r="D63" s="472" t="s">
        <v>224</v>
      </c>
      <c r="E63" s="346" t="s">
        <v>225</v>
      </c>
      <c r="F63" s="347">
        <f>40500</f>
        <v>40500</v>
      </c>
    </row>
    <row r="64" spans="1:6" ht="17.100000000000001" customHeight="1">
      <c r="A64" s="901"/>
      <c r="B64" s="883"/>
      <c r="C64" s="462"/>
      <c r="D64" s="1267"/>
      <c r="E64" s="1269"/>
      <c r="F64" s="1270"/>
    </row>
    <row r="65" spans="1:6" ht="17.100000000000001" customHeight="1">
      <c r="A65" s="901"/>
      <c r="B65" s="883"/>
      <c r="C65" s="462"/>
      <c r="D65" s="1292" t="s">
        <v>226</v>
      </c>
      <c r="E65" s="1293"/>
      <c r="F65" s="347">
        <f>SUM(F66:F82)</f>
        <v>1343062</v>
      </c>
    </row>
    <row r="66" spans="1:6" ht="17.100000000000001" customHeight="1">
      <c r="A66" s="901"/>
      <c r="B66" s="883"/>
      <c r="C66" s="462"/>
      <c r="D66" s="472" t="s">
        <v>227</v>
      </c>
      <c r="E66" s="346" t="s">
        <v>228</v>
      </c>
      <c r="F66" s="347">
        <f>158950</f>
        <v>158950</v>
      </c>
    </row>
    <row r="67" spans="1:6" ht="17.100000000000001" customHeight="1">
      <c r="A67" s="901"/>
      <c r="B67" s="1267"/>
      <c r="C67" s="1268"/>
      <c r="D67" s="472" t="s">
        <v>229</v>
      </c>
      <c r="E67" s="346" t="s">
        <v>230</v>
      </c>
      <c r="F67" s="347">
        <f>256500</f>
        <v>256500</v>
      </c>
    </row>
    <row r="68" spans="1:6" ht="17.100000000000001" customHeight="1">
      <c r="A68" s="901"/>
      <c r="B68" s="1267"/>
      <c r="C68" s="1268"/>
      <c r="D68" s="472" t="s">
        <v>231</v>
      </c>
      <c r="E68" s="346" t="s">
        <v>232</v>
      </c>
      <c r="F68" s="347">
        <f>186000</f>
        <v>186000</v>
      </c>
    </row>
    <row r="69" spans="1:6" ht="17.100000000000001" customHeight="1">
      <c r="A69" s="901"/>
      <c r="B69" s="1267"/>
      <c r="C69" s="1268"/>
      <c r="D69" s="472" t="s">
        <v>233</v>
      </c>
      <c r="E69" s="346" t="s">
        <v>234</v>
      </c>
      <c r="F69" s="347">
        <f>50000</f>
        <v>50000</v>
      </c>
    </row>
    <row r="70" spans="1:6" ht="17.100000000000001" customHeight="1">
      <c r="A70" s="901"/>
      <c r="B70" s="1267"/>
      <c r="C70" s="1268"/>
      <c r="D70" s="472" t="s">
        <v>235</v>
      </c>
      <c r="E70" s="346" t="s">
        <v>236</v>
      </c>
      <c r="F70" s="347">
        <f>6330</f>
        <v>6330</v>
      </c>
    </row>
    <row r="71" spans="1:6" ht="17.100000000000001" customHeight="1">
      <c r="A71" s="901"/>
      <c r="B71" s="1267"/>
      <c r="C71" s="1268"/>
      <c r="D71" s="472" t="s">
        <v>237</v>
      </c>
      <c r="E71" s="346" t="s">
        <v>238</v>
      </c>
      <c r="F71" s="347">
        <f>219800</f>
        <v>219800</v>
      </c>
    </row>
    <row r="72" spans="1:6" ht="17.100000000000001" customHeight="1">
      <c r="A72" s="901"/>
      <c r="B72" s="1267"/>
      <c r="C72" s="1268"/>
      <c r="D72" s="472" t="s">
        <v>239</v>
      </c>
      <c r="E72" s="346" t="s">
        <v>240</v>
      </c>
      <c r="F72" s="347">
        <f>30000</f>
        <v>30000</v>
      </c>
    </row>
    <row r="73" spans="1:6" ht="30" customHeight="1">
      <c r="A73" s="901"/>
      <c r="B73" s="1267"/>
      <c r="C73" s="1268"/>
      <c r="D73" s="472" t="s">
        <v>241</v>
      </c>
      <c r="E73" s="346" t="s">
        <v>242</v>
      </c>
      <c r="F73" s="347">
        <f>16000</f>
        <v>16000</v>
      </c>
    </row>
    <row r="74" spans="1:6" ht="29.25" customHeight="1">
      <c r="A74" s="901"/>
      <c r="B74" s="1267"/>
      <c r="C74" s="1268"/>
      <c r="D74" s="472" t="s">
        <v>243</v>
      </c>
      <c r="E74" s="346" t="s">
        <v>276</v>
      </c>
      <c r="F74" s="347">
        <f>60000</f>
        <v>60000</v>
      </c>
    </row>
    <row r="75" spans="1:6" ht="16.5" customHeight="1">
      <c r="A75" s="901"/>
      <c r="B75" s="1267"/>
      <c r="C75" s="1268"/>
      <c r="D75" s="472" t="s">
        <v>247</v>
      </c>
      <c r="E75" s="346" t="s">
        <v>248</v>
      </c>
      <c r="F75" s="347">
        <f>32000</f>
        <v>32000</v>
      </c>
    </row>
    <row r="76" spans="1:6" ht="17.100000000000001" customHeight="1">
      <c r="A76" s="901"/>
      <c r="B76" s="1267"/>
      <c r="C76" s="1268"/>
      <c r="D76" s="472" t="s">
        <v>249</v>
      </c>
      <c r="E76" s="346" t="s">
        <v>250</v>
      </c>
      <c r="F76" s="347">
        <f>7000</f>
        <v>7000</v>
      </c>
    </row>
    <row r="77" spans="1:6" ht="17.100000000000001" customHeight="1">
      <c r="A77" s="901"/>
      <c r="B77" s="1267"/>
      <c r="C77" s="1268"/>
      <c r="D77" s="472" t="s">
        <v>251</v>
      </c>
      <c r="E77" s="346" t="s">
        <v>252</v>
      </c>
      <c r="F77" s="347">
        <f>38500</f>
        <v>38500</v>
      </c>
    </row>
    <row r="78" spans="1:6" ht="17.100000000000001" customHeight="1">
      <c r="A78" s="901"/>
      <c r="B78" s="1267"/>
      <c r="C78" s="1268"/>
      <c r="D78" s="472" t="s">
        <v>253</v>
      </c>
      <c r="E78" s="346" t="s">
        <v>254</v>
      </c>
      <c r="F78" s="347">
        <f>207482</f>
        <v>207482</v>
      </c>
    </row>
    <row r="79" spans="1:6" ht="17.100000000000001" customHeight="1">
      <c r="A79" s="901"/>
      <c r="B79" s="1267"/>
      <c r="C79" s="1268"/>
      <c r="D79" s="472" t="s">
        <v>255</v>
      </c>
      <c r="E79" s="346" t="s">
        <v>256</v>
      </c>
      <c r="F79" s="347">
        <f>31000</f>
        <v>31000</v>
      </c>
    </row>
    <row r="80" spans="1:6" ht="17.100000000000001" customHeight="1">
      <c r="A80" s="901"/>
      <c r="B80" s="1267"/>
      <c r="C80" s="1268"/>
      <c r="D80" s="472" t="s">
        <v>257</v>
      </c>
      <c r="E80" s="346" t="s">
        <v>258</v>
      </c>
      <c r="F80" s="347">
        <f>500</f>
        <v>500</v>
      </c>
    </row>
    <row r="81" spans="1:6" ht="17.100000000000001" customHeight="1">
      <c r="A81" s="901"/>
      <c r="B81" s="1267"/>
      <c r="C81" s="1268"/>
      <c r="D81" s="472" t="s">
        <v>259</v>
      </c>
      <c r="E81" s="346" t="s">
        <v>260</v>
      </c>
      <c r="F81" s="347">
        <f>33000</f>
        <v>33000</v>
      </c>
    </row>
    <row r="82" spans="1:6" ht="17.100000000000001" customHeight="1">
      <c r="A82" s="901"/>
      <c r="B82" s="1267"/>
      <c r="C82" s="1268"/>
      <c r="D82" s="472" t="s">
        <v>261</v>
      </c>
      <c r="E82" s="346" t="s">
        <v>262</v>
      </c>
      <c r="F82" s="347">
        <f>10000</f>
        <v>10000</v>
      </c>
    </row>
    <row r="83" spans="1:6" ht="17.100000000000001" customHeight="1">
      <c r="A83" s="901"/>
      <c r="B83" s="883"/>
      <c r="C83" s="462"/>
      <c r="D83" s="1267"/>
      <c r="E83" s="1269"/>
      <c r="F83" s="1270"/>
    </row>
    <row r="84" spans="1:6" ht="17.100000000000001" customHeight="1">
      <c r="A84" s="901"/>
      <c r="B84" s="883"/>
      <c r="C84" s="462"/>
      <c r="D84" s="1290" t="s">
        <v>263</v>
      </c>
      <c r="E84" s="1291"/>
      <c r="F84" s="347">
        <f>F85</f>
        <v>22050</v>
      </c>
    </row>
    <row r="85" spans="1:6" ht="17.100000000000001" customHeight="1">
      <c r="A85" s="901"/>
      <c r="B85" s="883"/>
      <c r="C85" s="462"/>
      <c r="D85" s="472" t="s">
        <v>264</v>
      </c>
      <c r="E85" s="346" t="s">
        <v>265</v>
      </c>
      <c r="F85" s="347">
        <f>22050</f>
        <v>22050</v>
      </c>
    </row>
    <row r="86" spans="1:6" ht="17.100000000000001" customHeight="1">
      <c r="A86" s="901"/>
      <c r="B86" s="883"/>
      <c r="C86" s="462"/>
      <c r="D86" s="1267"/>
      <c r="E86" s="1269"/>
      <c r="F86" s="1270"/>
    </row>
    <row r="87" spans="1:6" ht="17.100000000000001" customHeight="1">
      <c r="A87" s="901"/>
      <c r="B87" s="883"/>
      <c r="C87" s="462"/>
      <c r="D87" s="1296" t="s">
        <v>266</v>
      </c>
      <c r="E87" s="1297"/>
      <c r="F87" s="343">
        <f>F88</f>
        <v>32000</v>
      </c>
    </row>
    <row r="88" spans="1:6" ht="17.100000000000001" customHeight="1">
      <c r="A88" s="901"/>
      <c r="B88" s="883"/>
      <c r="C88" s="462"/>
      <c r="D88" s="1298" t="s">
        <v>905</v>
      </c>
      <c r="E88" s="1291"/>
      <c r="F88" s="347">
        <f>F89</f>
        <v>32000</v>
      </c>
    </row>
    <row r="89" spans="1:6" ht="17.100000000000001" customHeight="1">
      <c r="A89" s="901"/>
      <c r="B89" s="1299"/>
      <c r="C89" s="1300"/>
      <c r="D89" s="472" t="s">
        <v>270</v>
      </c>
      <c r="E89" s="346" t="s">
        <v>271</v>
      </c>
      <c r="F89" s="347">
        <f>32000</f>
        <v>32000</v>
      </c>
    </row>
    <row r="90" spans="1:6" ht="17.100000000000001" customHeight="1">
      <c r="A90" s="901"/>
      <c r="B90" s="1278" t="s">
        <v>277</v>
      </c>
      <c r="C90" s="1279"/>
      <c r="D90" s="340"/>
      <c r="E90" s="341" t="s">
        <v>278</v>
      </c>
      <c r="F90" s="342">
        <f>F91+F115</f>
        <v>25313028</v>
      </c>
    </row>
    <row r="91" spans="1:6" ht="17.100000000000001" customHeight="1">
      <c r="A91" s="901"/>
      <c r="B91" s="1280"/>
      <c r="C91" s="1301"/>
      <c r="D91" s="1284" t="s">
        <v>213</v>
      </c>
      <c r="E91" s="1285"/>
      <c r="F91" s="343">
        <f>F92</f>
        <v>5071028</v>
      </c>
    </row>
    <row r="92" spans="1:6" ht="17.100000000000001" customHeight="1">
      <c r="A92" s="901"/>
      <c r="B92" s="1282"/>
      <c r="C92" s="1302"/>
      <c r="D92" s="1286" t="s">
        <v>214</v>
      </c>
      <c r="E92" s="1294"/>
      <c r="F92" s="347">
        <f>F93+F100+F112</f>
        <v>5071028</v>
      </c>
    </row>
    <row r="93" spans="1:6" ht="17.100000000000001" customHeight="1">
      <c r="A93" s="901"/>
      <c r="B93" s="1282"/>
      <c r="C93" s="1302"/>
      <c r="D93" s="1288" t="s">
        <v>215</v>
      </c>
      <c r="E93" s="1295"/>
      <c r="F93" s="347">
        <f>F94+F96+F97+F98+F95</f>
        <v>1339780</v>
      </c>
    </row>
    <row r="94" spans="1:6" ht="17.100000000000001" customHeight="1">
      <c r="A94" s="901"/>
      <c r="B94" s="1282"/>
      <c r="C94" s="1302"/>
      <c r="D94" s="472" t="s">
        <v>216</v>
      </c>
      <c r="E94" s="346" t="s">
        <v>217</v>
      </c>
      <c r="F94" s="347">
        <f>1038200</f>
        <v>1038200</v>
      </c>
    </row>
    <row r="95" spans="1:6" ht="17.100000000000001" customHeight="1">
      <c r="A95" s="901"/>
      <c r="B95" s="1282"/>
      <c r="C95" s="1302"/>
      <c r="D95" s="472" t="s">
        <v>218</v>
      </c>
      <c r="E95" s="346" t="s">
        <v>219</v>
      </c>
      <c r="F95" s="347">
        <f>86310</f>
        <v>86310</v>
      </c>
    </row>
    <row r="96" spans="1:6" ht="17.100000000000001" customHeight="1">
      <c r="A96" s="901"/>
      <c r="B96" s="1282"/>
      <c r="C96" s="1302"/>
      <c r="D96" s="472" t="s">
        <v>220</v>
      </c>
      <c r="E96" s="346" t="s">
        <v>221</v>
      </c>
      <c r="F96" s="347">
        <f>188285</f>
        <v>188285</v>
      </c>
    </row>
    <row r="97" spans="1:6" ht="17.100000000000001" customHeight="1">
      <c r="A97" s="901"/>
      <c r="B97" s="1282"/>
      <c r="C97" s="1302"/>
      <c r="D97" s="472" t="s">
        <v>222</v>
      </c>
      <c r="E97" s="346" t="s">
        <v>223</v>
      </c>
      <c r="F97" s="347">
        <f>26835</f>
        <v>26835</v>
      </c>
    </row>
    <row r="98" spans="1:6" ht="17.100000000000001" customHeight="1">
      <c r="A98" s="901"/>
      <c r="B98" s="1282"/>
      <c r="C98" s="1302"/>
      <c r="D98" s="472" t="s">
        <v>224</v>
      </c>
      <c r="E98" s="346" t="s">
        <v>225</v>
      </c>
      <c r="F98" s="347">
        <f>150</f>
        <v>150</v>
      </c>
    </row>
    <row r="99" spans="1:6" ht="17.100000000000001" customHeight="1">
      <c r="A99" s="901"/>
      <c r="B99" s="1282"/>
      <c r="C99" s="1302"/>
      <c r="D99" s="1267"/>
      <c r="E99" s="1323"/>
      <c r="F99" s="1324"/>
    </row>
    <row r="100" spans="1:6" ht="17.100000000000001" customHeight="1">
      <c r="A100" s="901"/>
      <c r="B100" s="1282"/>
      <c r="C100" s="1302"/>
      <c r="D100" s="1325" t="s">
        <v>226</v>
      </c>
      <c r="E100" s="1293"/>
      <c r="F100" s="347">
        <f>F101+F102+F103+F104+F105+F106+F107+F108+F109+F110</f>
        <v>3719437</v>
      </c>
    </row>
    <row r="101" spans="1:6" ht="17.100000000000001" customHeight="1">
      <c r="A101" s="901"/>
      <c r="B101" s="1282"/>
      <c r="C101" s="1302"/>
      <c r="D101" s="351" t="s">
        <v>227</v>
      </c>
      <c r="E101" s="461" t="s">
        <v>228</v>
      </c>
      <c r="F101" s="347">
        <f>42624</f>
        <v>42624</v>
      </c>
    </row>
    <row r="102" spans="1:6" ht="17.100000000000001" customHeight="1">
      <c r="A102" s="901"/>
      <c r="B102" s="1282"/>
      <c r="C102" s="1302"/>
      <c r="D102" s="352" t="s">
        <v>229</v>
      </c>
      <c r="E102" s="346" t="s">
        <v>230</v>
      </c>
      <c r="F102" s="347">
        <f>40000</f>
        <v>40000</v>
      </c>
    </row>
    <row r="103" spans="1:6" ht="17.100000000000001" customHeight="1">
      <c r="A103" s="901"/>
      <c r="B103" s="1282"/>
      <c r="C103" s="1302"/>
      <c r="D103" s="472" t="s">
        <v>231</v>
      </c>
      <c r="E103" s="346" t="s">
        <v>232</v>
      </c>
      <c r="F103" s="347">
        <f>600000</f>
        <v>600000</v>
      </c>
    </row>
    <row r="104" spans="1:6" ht="17.100000000000001" customHeight="1">
      <c r="A104" s="901"/>
      <c r="B104" s="1282"/>
      <c r="C104" s="1302"/>
      <c r="D104" s="472" t="s">
        <v>233</v>
      </c>
      <c r="E104" s="346" t="s">
        <v>234</v>
      </c>
      <c r="F104" s="347">
        <f>2695671</f>
        <v>2695671</v>
      </c>
    </row>
    <row r="105" spans="1:6" ht="17.100000000000001" customHeight="1">
      <c r="A105" s="901"/>
      <c r="B105" s="1282"/>
      <c r="C105" s="1302"/>
      <c r="D105" s="472" t="s">
        <v>235</v>
      </c>
      <c r="E105" s="346" t="s">
        <v>236</v>
      </c>
      <c r="F105" s="347">
        <f>1000</f>
        <v>1000</v>
      </c>
    </row>
    <row r="106" spans="1:6" ht="17.100000000000001" customHeight="1">
      <c r="A106" s="901"/>
      <c r="B106" s="1282"/>
      <c r="C106" s="1302"/>
      <c r="D106" s="472" t="s">
        <v>237</v>
      </c>
      <c r="E106" s="346" t="s">
        <v>238</v>
      </c>
      <c r="F106" s="347">
        <f>300000</f>
        <v>300000</v>
      </c>
    </row>
    <row r="107" spans="1:6" ht="30" customHeight="1">
      <c r="A107" s="901"/>
      <c r="B107" s="1282"/>
      <c r="C107" s="1302"/>
      <c r="D107" s="472" t="s">
        <v>241</v>
      </c>
      <c r="E107" s="346" t="s">
        <v>242</v>
      </c>
      <c r="F107" s="347">
        <f>1595</f>
        <v>1595</v>
      </c>
    </row>
    <row r="108" spans="1:6" ht="17.100000000000001" customHeight="1">
      <c r="A108" s="901"/>
      <c r="B108" s="1282"/>
      <c r="C108" s="1302"/>
      <c r="D108" s="472" t="s">
        <v>253</v>
      </c>
      <c r="E108" s="346" t="s">
        <v>254</v>
      </c>
      <c r="F108" s="347">
        <f>36647</f>
        <v>36647</v>
      </c>
    </row>
    <row r="109" spans="1:6" ht="17.100000000000001" customHeight="1">
      <c r="A109" s="901"/>
      <c r="B109" s="1282"/>
      <c r="C109" s="1302"/>
      <c r="D109" s="472" t="s">
        <v>255</v>
      </c>
      <c r="E109" s="346" t="s">
        <v>256</v>
      </c>
      <c r="F109" s="347">
        <f>1100</f>
        <v>1100</v>
      </c>
    </row>
    <row r="110" spans="1:6" ht="17.100000000000001" customHeight="1">
      <c r="A110" s="901"/>
      <c r="B110" s="1282"/>
      <c r="C110" s="1302"/>
      <c r="D110" s="353" t="s">
        <v>279</v>
      </c>
      <c r="E110" s="354" t="s">
        <v>280</v>
      </c>
      <c r="F110" s="355">
        <f>800</f>
        <v>800</v>
      </c>
    </row>
    <row r="111" spans="1:6" ht="17.100000000000001" customHeight="1">
      <c r="A111" s="901"/>
      <c r="B111" s="1282"/>
      <c r="C111" s="1302"/>
      <c r="D111" s="1309"/>
      <c r="E111" s="1310"/>
      <c r="F111" s="1311"/>
    </row>
    <row r="112" spans="1:6" ht="17.100000000000001" customHeight="1">
      <c r="A112" s="901"/>
      <c r="B112" s="1282"/>
      <c r="C112" s="1302"/>
      <c r="D112" s="1290" t="s">
        <v>263</v>
      </c>
      <c r="E112" s="1291"/>
      <c r="F112" s="886">
        <f>F113</f>
        <v>11811</v>
      </c>
    </row>
    <row r="113" spans="1:7" ht="17.100000000000001" customHeight="1">
      <c r="A113" s="901"/>
      <c r="B113" s="1282"/>
      <c r="C113" s="1302"/>
      <c r="D113" s="352" t="s">
        <v>264</v>
      </c>
      <c r="E113" s="356" t="s">
        <v>265</v>
      </c>
      <c r="F113" s="357">
        <f>11811</f>
        <v>11811</v>
      </c>
    </row>
    <row r="114" spans="1:7" ht="17.100000000000001" customHeight="1">
      <c r="A114" s="901"/>
      <c r="B114" s="1282"/>
      <c r="C114" s="1302"/>
      <c r="D114" s="1299"/>
      <c r="E114" s="1312"/>
      <c r="F114" s="1313"/>
    </row>
    <row r="115" spans="1:7" ht="17.100000000000001" customHeight="1">
      <c r="A115" s="901"/>
      <c r="B115" s="1282"/>
      <c r="C115" s="1302"/>
      <c r="D115" s="1314" t="s">
        <v>281</v>
      </c>
      <c r="E115" s="1315"/>
      <c r="F115" s="358">
        <f>F116</f>
        <v>20242000</v>
      </c>
    </row>
    <row r="116" spans="1:7" ht="17.100000000000001" customHeight="1">
      <c r="A116" s="901"/>
      <c r="B116" s="1282"/>
      <c r="C116" s="1302"/>
      <c r="D116" s="1290" t="s">
        <v>904</v>
      </c>
      <c r="E116" s="1291"/>
      <c r="F116" s="347">
        <f>SUM(F117:F119)</f>
        <v>20242000</v>
      </c>
    </row>
    <row r="117" spans="1:7" ht="17.100000000000001" customHeight="1">
      <c r="A117" s="901"/>
      <c r="B117" s="1282"/>
      <c r="C117" s="1302"/>
      <c r="D117" s="472" t="s">
        <v>268</v>
      </c>
      <c r="E117" s="346" t="s">
        <v>269</v>
      </c>
      <c r="F117" s="347">
        <f>6201000</f>
        <v>6201000</v>
      </c>
    </row>
    <row r="118" spans="1:7" ht="17.100000000000001" customHeight="1">
      <c r="A118" s="901"/>
      <c r="B118" s="1282"/>
      <c r="C118" s="1302"/>
      <c r="D118" s="472" t="s">
        <v>282</v>
      </c>
      <c r="E118" s="346" t="s">
        <v>269</v>
      </c>
      <c r="F118" s="347">
        <f>10554000</f>
        <v>10554000</v>
      </c>
      <c r="G118" s="359"/>
    </row>
    <row r="119" spans="1:7" ht="17.100000000000001" customHeight="1">
      <c r="A119" s="901"/>
      <c r="B119" s="1282"/>
      <c r="C119" s="1302"/>
      <c r="D119" s="472" t="s">
        <v>283</v>
      </c>
      <c r="E119" s="346" t="s">
        <v>269</v>
      </c>
      <c r="F119" s="347">
        <f>3487000</f>
        <v>3487000</v>
      </c>
      <c r="G119" s="360"/>
    </row>
    <row r="120" spans="1:7" ht="17.100000000000001" customHeight="1">
      <c r="A120" s="901"/>
      <c r="B120" s="1319"/>
      <c r="C120" s="1320"/>
      <c r="D120" s="1316"/>
      <c r="E120" s="1317"/>
      <c r="F120" s="1318"/>
      <c r="G120" s="360"/>
    </row>
    <row r="121" spans="1:7" ht="17.100000000000001" customHeight="1">
      <c r="A121" s="901"/>
      <c r="B121" s="1319"/>
      <c r="C121" s="1320"/>
      <c r="D121" s="1292" t="s">
        <v>284</v>
      </c>
      <c r="E121" s="1307"/>
      <c r="F121" s="347">
        <f>F122+F123+F124</f>
        <v>17754974</v>
      </c>
      <c r="G121" s="360"/>
    </row>
    <row r="122" spans="1:7" ht="17.100000000000001" customHeight="1">
      <c r="A122" s="901"/>
      <c r="B122" s="1319"/>
      <c r="C122" s="1320"/>
      <c r="D122" s="880" t="s">
        <v>268</v>
      </c>
      <c r="E122" s="361" t="s">
        <v>269</v>
      </c>
      <c r="F122" s="347">
        <f>3713974</f>
        <v>3713974</v>
      </c>
      <c r="G122" s="360"/>
    </row>
    <row r="123" spans="1:7" ht="17.100000000000001" customHeight="1">
      <c r="A123" s="901"/>
      <c r="B123" s="1319"/>
      <c r="C123" s="1320"/>
      <c r="D123" s="880" t="s">
        <v>282</v>
      </c>
      <c r="E123" s="362" t="s">
        <v>269</v>
      </c>
      <c r="F123" s="347">
        <f>10554000</f>
        <v>10554000</v>
      </c>
      <c r="G123" s="360"/>
    </row>
    <row r="124" spans="1:7" ht="17.100000000000001" customHeight="1">
      <c r="A124" s="901"/>
      <c r="B124" s="1321"/>
      <c r="C124" s="1322"/>
      <c r="D124" s="881" t="s">
        <v>283</v>
      </c>
      <c r="E124" s="346" t="s">
        <v>269</v>
      </c>
      <c r="F124" s="347">
        <f>3487000</f>
        <v>3487000</v>
      </c>
      <c r="G124" s="360"/>
    </row>
    <row r="125" spans="1:7" ht="17.100000000000001" customHeight="1">
      <c r="A125" s="901"/>
      <c r="B125" s="1278" t="s">
        <v>28</v>
      </c>
      <c r="C125" s="1279"/>
      <c r="D125" s="340"/>
      <c r="E125" s="341" t="s">
        <v>285</v>
      </c>
      <c r="F125" s="342">
        <f>F126</f>
        <v>410000</v>
      </c>
    </row>
    <row r="126" spans="1:7" ht="17.100000000000001" customHeight="1">
      <c r="A126" s="901"/>
      <c r="B126" s="1280"/>
      <c r="C126" s="1281"/>
      <c r="D126" s="1284" t="s">
        <v>213</v>
      </c>
      <c r="E126" s="1285"/>
      <c r="F126" s="343">
        <f>F127</f>
        <v>410000</v>
      </c>
    </row>
    <row r="127" spans="1:7" ht="17.100000000000001" customHeight="1">
      <c r="A127" s="901"/>
      <c r="B127" s="1282"/>
      <c r="C127" s="1283"/>
      <c r="D127" s="1286" t="s">
        <v>286</v>
      </c>
      <c r="E127" s="1294"/>
      <c r="F127" s="347">
        <f>F128</f>
        <v>410000</v>
      </c>
    </row>
    <row r="128" spans="1:7" ht="39.75" customHeight="1">
      <c r="A128" s="901"/>
      <c r="B128" s="1303"/>
      <c r="C128" s="1308"/>
      <c r="D128" s="472" t="s">
        <v>287</v>
      </c>
      <c r="E128" s="346" t="s">
        <v>288</v>
      </c>
      <c r="F128" s="347">
        <f>410000</f>
        <v>410000</v>
      </c>
    </row>
    <row r="129" spans="1:6" ht="17.100000000000001" customHeight="1">
      <c r="A129" s="901"/>
      <c r="B129" s="1278" t="s">
        <v>289</v>
      </c>
      <c r="C129" s="1279"/>
      <c r="D129" s="340"/>
      <c r="E129" s="341" t="s">
        <v>290</v>
      </c>
      <c r="F129" s="342">
        <f>F130+F167</f>
        <v>8168130</v>
      </c>
    </row>
    <row r="130" spans="1:6" ht="17.100000000000001" customHeight="1">
      <c r="A130" s="901"/>
      <c r="B130" s="1326"/>
      <c r="C130" s="1327"/>
      <c r="D130" s="1284" t="s">
        <v>213</v>
      </c>
      <c r="E130" s="1285"/>
      <c r="F130" s="343">
        <f>F131</f>
        <v>7808130</v>
      </c>
    </row>
    <row r="131" spans="1:6" ht="17.100000000000001" customHeight="1">
      <c r="A131" s="901"/>
      <c r="B131" s="1328"/>
      <c r="C131" s="1329"/>
      <c r="D131" s="1286" t="s">
        <v>343</v>
      </c>
      <c r="E131" s="1294"/>
      <c r="F131" s="347">
        <f>SUM(F132:F165)</f>
        <v>7808130</v>
      </c>
    </row>
    <row r="132" spans="1:6" ht="17.100000000000001" customHeight="1">
      <c r="A132" s="901"/>
      <c r="B132" s="1328"/>
      <c r="C132" s="1329"/>
      <c r="D132" s="472" t="s">
        <v>291</v>
      </c>
      <c r="E132" s="346" t="s">
        <v>217</v>
      </c>
      <c r="F132" s="347">
        <f>2234000</f>
        <v>2234000</v>
      </c>
    </row>
    <row r="133" spans="1:6" ht="17.100000000000001" customHeight="1">
      <c r="A133" s="901"/>
      <c r="B133" s="1328"/>
      <c r="C133" s="1329"/>
      <c r="D133" s="472" t="s">
        <v>292</v>
      </c>
      <c r="E133" s="346" t="s">
        <v>217</v>
      </c>
      <c r="F133" s="347">
        <f>966000</f>
        <v>966000</v>
      </c>
    </row>
    <row r="134" spans="1:6" ht="17.100000000000001" customHeight="1">
      <c r="A134" s="901"/>
      <c r="B134" s="1328"/>
      <c r="C134" s="1329"/>
      <c r="D134" s="472" t="s">
        <v>293</v>
      </c>
      <c r="E134" s="346" t="s">
        <v>219</v>
      </c>
      <c r="F134" s="347">
        <f>225000</f>
        <v>225000</v>
      </c>
    </row>
    <row r="135" spans="1:6" ht="17.100000000000001" customHeight="1">
      <c r="A135" s="901"/>
      <c r="B135" s="1328"/>
      <c r="C135" s="1329"/>
      <c r="D135" s="472" t="s">
        <v>294</v>
      </c>
      <c r="E135" s="346" t="s">
        <v>219</v>
      </c>
      <c r="F135" s="347">
        <f>75000</f>
        <v>75000</v>
      </c>
    </row>
    <row r="136" spans="1:6" ht="17.100000000000001" customHeight="1">
      <c r="A136" s="901"/>
      <c r="B136" s="1328"/>
      <c r="C136" s="1329"/>
      <c r="D136" s="472" t="s">
        <v>295</v>
      </c>
      <c r="E136" s="346" t="s">
        <v>221</v>
      </c>
      <c r="F136" s="347">
        <f>425500</f>
        <v>425500</v>
      </c>
    </row>
    <row r="137" spans="1:6" ht="17.100000000000001" customHeight="1">
      <c r="A137" s="901"/>
      <c r="B137" s="1328"/>
      <c r="C137" s="1329"/>
      <c r="D137" s="472" t="s">
        <v>296</v>
      </c>
      <c r="E137" s="346" t="s">
        <v>221</v>
      </c>
      <c r="F137" s="347">
        <f>185500</f>
        <v>185500</v>
      </c>
    </row>
    <row r="138" spans="1:6" ht="17.100000000000001" customHeight="1">
      <c r="A138" s="901"/>
      <c r="B138" s="1328"/>
      <c r="C138" s="1329"/>
      <c r="D138" s="472" t="s">
        <v>297</v>
      </c>
      <c r="E138" s="346" t="s">
        <v>223</v>
      </c>
      <c r="F138" s="347">
        <f>63840</f>
        <v>63840</v>
      </c>
    </row>
    <row r="139" spans="1:6" ht="17.100000000000001" customHeight="1">
      <c r="A139" s="901"/>
      <c r="B139" s="1328"/>
      <c r="C139" s="1329"/>
      <c r="D139" s="472" t="s">
        <v>298</v>
      </c>
      <c r="E139" s="346" t="s">
        <v>223</v>
      </c>
      <c r="F139" s="347">
        <f>29160</f>
        <v>29160</v>
      </c>
    </row>
    <row r="140" spans="1:6" ht="17.100000000000001" customHeight="1">
      <c r="A140" s="901"/>
      <c r="B140" s="1328"/>
      <c r="C140" s="1329"/>
      <c r="D140" s="472" t="s">
        <v>299</v>
      </c>
      <c r="E140" s="346" t="s">
        <v>225</v>
      </c>
      <c r="F140" s="347">
        <f>30000</f>
        <v>30000</v>
      </c>
    </row>
    <row r="141" spans="1:6" ht="17.100000000000001" customHeight="1">
      <c r="A141" s="901"/>
      <c r="B141" s="1328"/>
      <c r="C141" s="1329"/>
      <c r="D141" s="472" t="s">
        <v>300</v>
      </c>
      <c r="E141" s="346" t="s">
        <v>225</v>
      </c>
      <c r="F141" s="347">
        <f>10000</f>
        <v>10000</v>
      </c>
    </row>
    <row r="142" spans="1:6" ht="17.100000000000001" customHeight="1">
      <c r="A142" s="901"/>
      <c r="B142" s="1328"/>
      <c r="C142" s="1329"/>
      <c r="D142" s="472" t="s">
        <v>229</v>
      </c>
      <c r="E142" s="346" t="s">
        <v>230</v>
      </c>
      <c r="F142" s="347">
        <f>270480</f>
        <v>270480</v>
      </c>
    </row>
    <row r="143" spans="1:6" ht="17.100000000000001" customHeight="1">
      <c r="A143" s="901"/>
      <c r="B143" s="1328"/>
      <c r="C143" s="1329"/>
      <c r="D143" s="472" t="s">
        <v>301</v>
      </c>
      <c r="E143" s="346" t="s">
        <v>230</v>
      </c>
      <c r="F143" s="347">
        <f>865500</f>
        <v>865500</v>
      </c>
    </row>
    <row r="144" spans="1:6" ht="17.100000000000001" customHeight="1">
      <c r="A144" s="901"/>
      <c r="B144" s="1328"/>
      <c r="C144" s="1329"/>
      <c r="D144" s="472" t="s">
        <v>302</v>
      </c>
      <c r="E144" s="346" t="s">
        <v>230</v>
      </c>
      <c r="F144" s="347">
        <f>310500</f>
        <v>310500</v>
      </c>
    </row>
    <row r="145" spans="1:6" ht="17.100000000000001" customHeight="1">
      <c r="A145" s="901"/>
      <c r="B145" s="1328"/>
      <c r="C145" s="1329"/>
      <c r="D145" s="472" t="s">
        <v>237</v>
      </c>
      <c r="E145" s="346" t="s">
        <v>238</v>
      </c>
      <c r="F145" s="347">
        <f>273470</f>
        <v>273470</v>
      </c>
    </row>
    <row r="146" spans="1:6" ht="17.100000000000001" customHeight="1">
      <c r="A146" s="901"/>
      <c r="B146" s="1328"/>
      <c r="C146" s="1329"/>
      <c r="D146" s="472" t="s">
        <v>303</v>
      </c>
      <c r="E146" s="346" t="s">
        <v>238</v>
      </c>
      <c r="F146" s="347">
        <f>1188750</f>
        <v>1188750</v>
      </c>
    </row>
    <row r="147" spans="1:6" ht="17.100000000000001" customHeight="1">
      <c r="A147" s="901"/>
      <c r="B147" s="1328"/>
      <c r="C147" s="1329"/>
      <c r="D147" s="472" t="s">
        <v>304</v>
      </c>
      <c r="E147" s="346" t="s">
        <v>238</v>
      </c>
      <c r="F147" s="347">
        <f>451250</f>
        <v>451250</v>
      </c>
    </row>
    <row r="148" spans="1:6" ht="17.100000000000001" customHeight="1">
      <c r="A148" s="901"/>
      <c r="B148" s="1328"/>
      <c r="C148" s="1329"/>
      <c r="D148" s="472" t="s">
        <v>239</v>
      </c>
      <c r="E148" s="346" t="s">
        <v>240</v>
      </c>
      <c r="F148" s="347">
        <f>460</f>
        <v>460</v>
      </c>
    </row>
    <row r="149" spans="1:6" ht="17.100000000000001" customHeight="1">
      <c r="A149" s="901"/>
      <c r="B149" s="1328"/>
      <c r="C149" s="1329"/>
      <c r="D149" s="472" t="s">
        <v>305</v>
      </c>
      <c r="E149" s="346" t="s">
        <v>240</v>
      </c>
      <c r="F149" s="347">
        <f>1380</f>
        <v>1380</v>
      </c>
    </row>
    <row r="150" spans="1:6" ht="17.100000000000001" customHeight="1">
      <c r="A150" s="901"/>
      <c r="B150" s="1328"/>
      <c r="C150" s="1329"/>
      <c r="D150" s="472" t="s">
        <v>306</v>
      </c>
      <c r="E150" s="346" t="s">
        <v>240</v>
      </c>
      <c r="F150" s="347">
        <f>620</f>
        <v>620</v>
      </c>
    </row>
    <row r="151" spans="1:6" ht="31.5" customHeight="1">
      <c r="A151" s="901"/>
      <c r="B151" s="1328"/>
      <c r="C151" s="1329"/>
      <c r="D151" s="472" t="s">
        <v>241</v>
      </c>
      <c r="E151" s="346" t="s">
        <v>242</v>
      </c>
      <c r="F151" s="347">
        <f>920</f>
        <v>920</v>
      </c>
    </row>
    <row r="152" spans="1:6" ht="31.5" customHeight="1">
      <c r="A152" s="901"/>
      <c r="B152" s="1328"/>
      <c r="C152" s="1329"/>
      <c r="D152" s="472" t="s">
        <v>307</v>
      </c>
      <c r="E152" s="346" t="s">
        <v>242</v>
      </c>
      <c r="F152" s="347">
        <f>2880</f>
        <v>2880</v>
      </c>
    </row>
    <row r="153" spans="1:6" ht="28.5" customHeight="1">
      <c r="A153" s="901"/>
      <c r="B153" s="1328"/>
      <c r="C153" s="1329"/>
      <c r="D153" s="472" t="s">
        <v>308</v>
      </c>
      <c r="E153" s="346" t="s">
        <v>242</v>
      </c>
      <c r="F153" s="347">
        <f>1120</f>
        <v>1120</v>
      </c>
    </row>
    <row r="154" spans="1:6" ht="17.100000000000001" customHeight="1">
      <c r="A154" s="901"/>
      <c r="B154" s="1328"/>
      <c r="C154" s="1329"/>
      <c r="D154" s="472" t="s">
        <v>249</v>
      </c>
      <c r="E154" s="346" t="s">
        <v>250</v>
      </c>
      <c r="F154" s="347">
        <f>14950</f>
        <v>14950</v>
      </c>
    </row>
    <row r="155" spans="1:6" ht="17.100000000000001" customHeight="1">
      <c r="A155" s="901"/>
      <c r="B155" s="1328"/>
      <c r="C155" s="1329"/>
      <c r="D155" s="472" t="s">
        <v>309</v>
      </c>
      <c r="E155" s="346" t="s">
        <v>250</v>
      </c>
      <c r="F155" s="347">
        <f>46450</f>
        <v>46450</v>
      </c>
    </row>
    <row r="156" spans="1:6" ht="17.100000000000001" customHeight="1">
      <c r="A156" s="901"/>
      <c r="B156" s="1328"/>
      <c r="C156" s="1329"/>
      <c r="D156" s="472" t="s">
        <v>310</v>
      </c>
      <c r="E156" s="346" t="s">
        <v>250</v>
      </c>
      <c r="F156" s="347">
        <f>18550</f>
        <v>18550</v>
      </c>
    </row>
    <row r="157" spans="1:6" ht="17.100000000000001" customHeight="1">
      <c r="A157" s="901"/>
      <c r="B157" s="1328"/>
      <c r="C157" s="1329"/>
      <c r="D157" s="472" t="s">
        <v>311</v>
      </c>
      <c r="E157" s="346" t="s">
        <v>312</v>
      </c>
      <c r="F157" s="347">
        <f>2300</f>
        <v>2300</v>
      </c>
    </row>
    <row r="158" spans="1:6" ht="17.100000000000001" customHeight="1">
      <c r="A158" s="901"/>
      <c r="B158" s="1328"/>
      <c r="C158" s="1329"/>
      <c r="D158" s="472" t="s">
        <v>313</v>
      </c>
      <c r="E158" s="346" t="s">
        <v>312</v>
      </c>
      <c r="F158" s="347">
        <f>7500</f>
        <v>7500</v>
      </c>
    </row>
    <row r="159" spans="1:6" ht="17.100000000000001" customHeight="1">
      <c r="A159" s="901"/>
      <c r="B159" s="1328"/>
      <c r="C159" s="1329"/>
      <c r="D159" s="472" t="s">
        <v>314</v>
      </c>
      <c r="E159" s="346" t="s">
        <v>312</v>
      </c>
      <c r="F159" s="347">
        <f>2500</f>
        <v>2500</v>
      </c>
    </row>
    <row r="160" spans="1:6" ht="17.100000000000001" customHeight="1">
      <c r="A160" s="901"/>
      <c r="B160" s="1328"/>
      <c r="C160" s="1329"/>
      <c r="D160" s="472" t="s">
        <v>251</v>
      </c>
      <c r="E160" s="346" t="s">
        <v>252</v>
      </c>
      <c r="F160" s="347">
        <f>2300</f>
        <v>2300</v>
      </c>
    </row>
    <row r="161" spans="1:7" ht="17.100000000000001" customHeight="1">
      <c r="A161" s="901"/>
      <c r="B161" s="1328"/>
      <c r="C161" s="1329"/>
      <c r="D161" s="472" t="s">
        <v>315</v>
      </c>
      <c r="E161" s="346" t="s">
        <v>252</v>
      </c>
      <c r="F161" s="347">
        <f>7500</f>
        <v>7500</v>
      </c>
    </row>
    <row r="162" spans="1:7" ht="17.100000000000001" customHeight="1">
      <c r="A162" s="901"/>
      <c r="B162" s="1328"/>
      <c r="C162" s="1329"/>
      <c r="D162" s="472" t="s">
        <v>316</v>
      </c>
      <c r="E162" s="346" t="s">
        <v>252</v>
      </c>
      <c r="F162" s="347">
        <f>2500</f>
        <v>2500</v>
      </c>
    </row>
    <row r="163" spans="1:7" ht="17.100000000000001" customHeight="1">
      <c r="A163" s="901"/>
      <c r="B163" s="1328"/>
      <c r="C163" s="1329"/>
      <c r="D163" s="472" t="s">
        <v>261</v>
      </c>
      <c r="E163" s="346" t="s">
        <v>262</v>
      </c>
      <c r="F163" s="347">
        <f>17250</f>
        <v>17250</v>
      </c>
    </row>
    <row r="164" spans="1:7" ht="17.100000000000001" customHeight="1">
      <c r="A164" s="901"/>
      <c r="B164" s="1328"/>
      <c r="C164" s="1329"/>
      <c r="D164" s="472" t="s">
        <v>317</v>
      </c>
      <c r="E164" s="346" t="s">
        <v>262</v>
      </c>
      <c r="F164" s="347">
        <f>55700</f>
        <v>55700</v>
      </c>
    </row>
    <row r="165" spans="1:7" ht="17.100000000000001" customHeight="1">
      <c r="A165" s="901"/>
      <c r="B165" s="1328"/>
      <c r="C165" s="1329"/>
      <c r="D165" s="472" t="s">
        <v>318</v>
      </c>
      <c r="E165" s="346" t="s">
        <v>262</v>
      </c>
      <c r="F165" s="347">
        <f>19300</f>
        <v>19300</v>
      </c>
    </row>
    <row r="166" spans="1:7" ht="17.100000000000001" customHeight="1">
      <c r="A166" s="901"/>
      <c r="B166" s="1328"/>
      <c r="C166" s="1329"/>
      <c r="D166" s="1267"/>
      <c r="E166" s="1269"/>
      <c r="F166" s="1270"/>
    </row>
    <row r="167" spans="1:7" ht="17.100000000000001" customHeight="1">
      <c r="A167" s="901"/>
      <c r="B167" s="1328"/>
      <c r="C167" s="1329"/>
      <c r="D167" s="1296" t="s">
        <v>281</v>
      </c>
      <c r="E167" s="1297"/>
      <c r="F167" s="343">
        <f>F168</f>
        <v>360000</v>
      </c>
    </row>
    <row r="168" spans="1:7" ht="17.100000000000001" customHeight="1">
      <c r="A168" s="901"/>
      <c r="B168" s="1328"/>
      <c r="C168" s="1329"/>
      <c r="D168" s="1290" t="s">
        <v>905</v>
      </c>
      <c r="E168" s="1291"/>
      <c r="F168" s="347">
        <f>SUM(F169:F171)</f>
        <v>360000</v>
      </c>
    </row>
    <row r="169" spans="1:7" ht="17.100000000000001" customHeight="1">
      <c r="A169" s="901"/>
      <c r="B169" s="1328"/>
      <c r="C169" s="1329"/>
      <c r="D169" s="472" t="s">
        <v>270</v>
      </c>
      <c r="E169" s="346" t="s">
        <v>271</v>
      </c>
      <c r="F169" s="347">
        <f>80000</f>
        <v>80000</v>
      </c>
    </row>
    <row r="170" spans="1:7" ht="17.100000000000001" customHeight="1">
      <c r="A170" s="901"/>
      <c r="B170" s="1328"/>
      <c r="C170" s="1329"/>
      <c r="D170" s="472" t="s">
        <v>319</v>
      </c>
      <c r="E170" s="346" t="s">
        <v>271</v>
      </c>
      <c r="F170" s="347">
        <f>210000</f>
        <v>210000</v>
      </c>
      <c r="G170" s="363"/>
    </row>
    <row r="171" spans="1:7" ht="17.100000000000001" customHeight="1">
      <c r="A171" s="901"/>
      <c r="B171" s="1328"/>
      <c r="C171" s="1329"/>
      <c r="D171" s="472" t="s">
        <v>320</v>
      </c>
      <c r="E171" s="346" t="s">
        <v>271</v>
      </c>
      <c r="F171" s="347">
        <f>70000</f>
        <v>70000</v>
      </c>
    </row>
    <row r="172" spans="1:7" ht="17.100000000000001" customHeight="1">
      <c r="A172" s="901"/>
      <c r="B172" s="1328"/>
      <c r="C172" s="1329"/>
      <c r="D172" s="1267"/>
      <c r="E172" s="1323"/>
      <c r="F172" s="1324"/>
    </row>
    <row r="173" spans="1:7" ht="17.100000000000001" customHeight="1">
      <c r="A173" s="901"/>
      <c r="B173" s="1328"/>
      <c r="C173" s="1329"/>
      <c r="D173" s="1292" t="s">
        <v>284</v>
      </c>
      <c r="E173" s="1307"/>
      <c r="F173" s="347">
        <f>F174+F175+F176</f>
        <v>360000</v>
      </c>
    </row>
    <row r="174" spans="1:7" ht="17.100000000000001" customHeight="1">
      <c r="A174" s="901"/>
      <c r="B174" s="1328"/>
      <c r="C174" s="1329"/>
      <c r="D174" s="472" t="s">
        <v>270</v>
      </c>
      <c r="E174" s="346" t="s">
        <v>271</v>
      </c>
      <c r="F174" s="347">
        <f>80000</f>
        <v>80000</v>
      </c>
    </row>
    <row r="175" spans="1:7" ht="17.100000000000001" customHeight="1">
      <c r="A175" s="901"/>
      <c r="B175" s="1328"/>
      <c r="C175" s="1329"/>
      <c r="D175" s="472" t="s">
        <v>319</v>
      </c>
      <c r="E175" s="346" t="s">
        <v>271</v>
      </c>
      <c r="F175" s="347">
        <f>210000</f>
        <v>210000</v>
      </c>
    </row>
    <row r="176" spans="1:7" ht="17.100000000000001" customHeight="1">
      <c r="A176" s="901"/>
      <c r="B176" s="1330"/>
      <c r="C176" s="1331"/>
      <c r="D176" s="472" t="s">
        <v>320</v>
      </c>
      <c r="E176" s="346" t="s">
        <v>271</v>
      </c>
      <c r="F176" s="347">
        <f>70000</f>
        <v>70000</v>
      </c>
    </row>
    <row r="177" spans="1:6" ht="17.100000000000001" customHeight="1">
      <c r="A177" s="901"/>
      <c r="B177" s="1278" t="s">
        <v>10</v>
      </c>
      <c r="C177" s="1279"/>
      <c r="D177" s="340"/>
      <c r="E177" s="341" t="s">
        <v>321</v>
      </c>
      <c r="F177" s="342">
        <f>F178+F188</f>
        <v>6500000</v>
      </c>
    </row>
    <row r="178" spans="1:6" ht="17.100000000000001" customHeight="1">
      <c r="A178" s="901"/>
      <c r="B178" s="364"/>
      <c r="C178" s="365"/>
      <c r="D178" s="1284" t="s">
        <v>213</v>
      </c>
      <c r="E178" s="1285"/>
      <c r="F178" s="343">
        <f>F179+F184</f>
        <v>2570000</v>
      </c>
    </row>
    <row r="179" spans="1:6" ht="17.100000000000001" customHeight="1">
      <c r="A179" s="901"/>
      <c r="B179" s="887"/>
      <c r="C179" s="366"/>
      <c r="D179" s="1286" t="s">
        <v>214</v>
      </c>
      <c r="E179" s="1294"/>
      <c r="F179" s="347">
        <f>F180</f>
        <v>100000</v>
      </c>
    </row>
    <row r="180" spans="1:6" ht="17.100000000000001" customHeight="1">
      <c r="A180" s="901"/>
      <c r="B180" s="887"/>
      <c r="C180" s="366"/>
      <c r="D180" s="1292" t="s">
        <v>226</v>
      </c>
      <c r="E180" s="1293"/>
      <c r="F180" s="347">
        <f>SUM(F181:F182)</f>
        <v>100000</v>
      </c>
    </row>
    <row r="181" spans="1:6" ht="17.100000000000001" customHeight="1">
      <c r="A181" s="901"/>
      <c r="B181" s="887"/>
      <c r="C181" s="366"/>
      <c r="D181" s="472" t="s">
        <v>229</v>
      </c>
      <c r="E181" s="346" t="s">
        <v>230</v>
      </c>
      <c r="F181" s="347">
        <f>80000</f>
        <v>80000</v>
      </c>
    </row>
    <row r="182" spans="1:6" ht="17.100000000000001" customHeight="1">
      <c r="A182" s="901"/>
      <c r="B182" s="887"/>
      <c r="C182" s="366"/>
      <c r="D182" s="472" t="s">
        <v>237</v>
      </c>
      <c r="E182" s="346" t="s">
        <v>238</v>
      </c>
      <c r="F182" s="347">
        <f>20000</f>
        <v>20000</v>
      </c>
    </row>
    <row r="183" spans="1:6" ht="17.100000000000001" customHeight="1">
      <c r="A183" s="901"/>
      <c r="B183" s="887"/>
      <c r="C183" s="366"/>
      <c r="D183" s="1267"/>
      <c r="E183" s="1269"/>
      <c r="F183" s="1270"/>
    </row>
    <row r="184" spans="1:6" ht="17.100000000000001" customHeight="1">
      <c r="A184" s="901"/>
      <c r="B184" s="887"/>
      <c r="C184" s="366"/>
      <c r="D184" s="1286" t="s">
        <v>286</v>
      </c>
      <c r="E184" s="1294"/>
      <c r="F184" s="347">
        <f>SUM(F185:F186)</f>
        <v>2470000</v>
      </c>
    </row>
    <row r="185" spans="1:6" ht="30.75" customHeight="1">
      <c r="A185" s="901"/>
      <c r="B185" s="887"/>
      <c r="C185" s="366"/>
      <c r="D185" s="472" t="s">
        <v>322</v>
      </c>
      <c r="E185" s="346" t="s">
        <v>323</v>
      </c>
      <c r="F185" s="347">
        <f>2420000</f>
        <v>2420000</v>
      </c>
    </row>
    <row r="186" spans="1:6" ht="30.75" customHeight="1">
      <c r="A186" s="901"/>
      <c r="B186" s="887"/>
      <c r="C186" s="366"/>
      <c r="D186" s="472" t="s">
        <v>324</v>
      </c>
      <c r="E186" s="346" t="s">
        <v>325</v>
      </c>
      <c r="F186" s="347">
        <f>50000</f>
        <v>50000</v>
      </c>
    </row>
    <row r="187" spans="1:6" ht="17.100000000000001" customHeight="1">
      <c r="A187" s="901"/>
      <c r="B187" s="887"/>
      <c r="C187" s="1283"/>
      <c r="D187" s="1267"/>
      <c r="E187" s="1269"/>
      <c r="F187" s="1270"/>
    </row>
    <row r="188" spans="1:6" ht="17.100000000000001" customHeight="1">
      <c r="A188" s="901"/>
      <c r="B188" s="887"/>
      <c r="C188" s="1283"/>
      <c r="D188" s="1296" t="s">
        <v>281</v>
      </c>
      <c r="E188" s="1297"/>
      <c r="F188" s="343">
        <f>F189</f>
        <v>3930000</v>
      </c>
    </row>
    <row r="189" spans="1:6" ht="17.100000000000001" customHeight="1">
      <c r="A189" s="901"/>
      <c r="B189" s="887"/>
      <c r="C189" s="1283"/>
      <c r="D189" s="1290" t="s">
        <v>904</v>
      </c>
      <c r="E189" s="1291"/>
      <c r="F189" s="347">
        <f>SUM(F190:F192)</f>
        <v>3930000</v>
      </c>
    </row>
    <row r="190" spans="1:6" ht="17.100000000000001" customHeight="1">
      <c r="A190" s="901"/>
      <c r="B190" s="887"/>
      <c r="C190" s="1283"/>
      <c r="D190" s="472" t="s">
        <v>270</v>
      </c>
      <c r="E190" s="346" t="s">
        <v>271</v>
      </c>
      <c r="F190" s="347">
        <f>80000</f>
        <v>80000</v>
      </c>
    </row>
    <row r="191" spans="1:6" ht="37.5" customHeight="1">
      <c r="A191" s="901"/>
      <c r="B191" s="367"/>
      <c r="C191" s="1283"/>
      <c r="D191" s="472" t="s">
        <v>326</v>
      </c>
      <c r="E191" s="346" t="s">
        <v>327</v>
      </c>
      <c r="F191" s="347">
        <f>3800000</f>
        <v>3800000</v>
      </c>
    </row>
    <row r="192" spans="1:6" ht="38.25">
      <c r="A192" s="901"/>
      <c r="B192" s="469"/>
      <c r="C192" s="1308"/>
      <c r="D192" s="472" t="s">
        <v>328</v>
      </c>
      <c r="E192" s="346" t="s">
        <v>329</v>
      </c>
      <c r="F192" s="347">
        <f>50000</f>
        <v>50000</v>
      </c>
    </row>
    <row r="193" spans="1:7" ht="17.100000000000001" customHeight="1">
      <c r="A193" s="901"/>
      <c r="B193" s="1278" t="s">
        <v>330</v>
      </c>
      <c r="C193" s="1279"/>
      <c r="D193" s="340"/>
      <c r="E193" s="341" t="s">
        <v>331</v>
      </c>
      <c r="F193" s="342">
        <f>F194</f>
        <v>31894603</v>
      </c>
    </row>
    <row r="194" spans="1:7" ht="17.100000000000001" customHeight="1">
      <c r="A194" s="901"/>
      <c r="B194" s="888"/>
      <c r="C194" s="468"/>
      <c r="D194" s="1296" t="s">
        <v>281</v>
      </c>
      <c r="E194" s="1297"/>
      <c r="F194" s="343">
        <f>F195</f>
        <v>31894603</v>
      </c>
    </row>
    <row r="195" spans="1:7" ht="17.100000000000001" customHeight="1">
      <c r="A195" s="901"/>
      <c r="B195" s="888"/>
      <c r="C195" s="468"/>
      <c r="D195" s="1290" t="s">
        <v>904</v>
      </c>
      <c r="E195" s="1291"/>
      <c r="F195" s="347">
        <f>SUM(F196:F198)</f>
        <v>31894603</v>
      </c>
    </row>
    <row r="196" spans="1:7" ht="17.100000000000001" customHeight="1">
      <c r="A196" s="901"/>
      <c r="B196" s="1267"/>
      <c r="C196" s="1268"/>
      <c r="D196" s="472" t="s">
        <v>268</v>
      </c>
      <c r="E196" s="346" t="s">
        <v>269</v>
      </c>
      <c r="F196" s="347">
        <f>23590315</f>
        <v>23590315</v>
      </c>
    </row>
    <row r="197" spans="1:7" ht="17.100000000000001" customHeight="1">
      <c r="A197" s="901"/>
      <c r="B197" s="1267"/>
      <c r="C197" s="1268"/>
      <c r="D197" s="472" t="s">
        <v>282</v>
      </c>
      <c r="E197" s="346" t="s">
        <v>269</v>
      </c>
      <c r="F197" s="347">
        <f>8304288</f>
        <v>8304288</v>
      </c>
      <c r="G197" s="363"/>
    </row>
    <row r="198" spans="1:7" ht="17.100000000000001" hidden="1" customHeight="1">
      <c r="A198" s="901"/>
      <c r="B198" s="1267"/>
      <c r="C198" s="1268"/>
      <c r="D198" s="472" t="s">
        <v>283</v>
      </c>
      <c r="E198" s="346" t="s">
        <v>269</v>
      </c>
      <c r="F198" s="347"/>
      <c r="G198" s="360"/>
    </row>
    <row r="199" spans="1:7" ht="17.100000000000001" customHeight="1">
      <c r="A199" s="901"/>
      <c r="B199" s="883"/>
      <c r="C199" s="462"/>
      <c r="D199" s="1267"/>
      <c r="E199" s="1323"/>
      <c r="F199" s="1324"/>
      <c r="G199" s="360"/>
    </row>
    <row r="200" spans="1:7" ht="17.100000000000001" customHeight="1">
      <c r="A200" s="901"/>
      <c r="B200" s="883"/>
      <c r="C200" s="462"/>
      <c r="D200" s="1292" t="s">
        <v>284</v>
      </c>
      <c r="E200" s="1307"/>
      <c r="F200" s="347">
        <f>F201</f>
        <v>8304288</v>
      </c>
      <c r="G200" s="360"/>
    </row>
    <row r="201" spans="1:7" ht="17.100000000000001" customHeight="1">
      <c r="A201" s="901"/>
      <c r="B201" s="883"/>
      <c r="C201" s="462"/>
      <c r="D201" s="472" t="s">
        <v>282</v>
      </c>
      <c r="E201" s="346" t="s">
        <v>269</v>
      </c>
      <c r="F201" s="347">
        <f>8304288</f>
        <v>8304288</v>
      </c>
      <c r="G201" s="360"/>
    </row>
    <row r="202" spans="1:7" ht="17.100000000000001" customHeight="1">
      <c r="A202" s="901"/>
      <c r="B202" s="1278" t="s">
        <v>11</v>
      </c>
      <c r="C202" s="1279"/>
      <c r="D202" s="340"/>
      <c r="E202" s="341" t="s">
        <v>332</v>
      </c>
      <c r="F202" s="342">
        <f>F203+F214</f>
        <v>2693050</v>
      </c>
    </row>
    <row r="203" spans="1:7" ht="17.100000000000001" customHeight="1">
      <c r="A203" s="901"/>
      <c r="B203" s="888"/>
      <c r="C203" s="468"/>
      <c r="D203" s="1284" t="s">
        <v>213</v>
      </c>
      <c r="E203" s="1285"/>
      <c r="F203" s="343">
        <f>F204+F211</f>
        <v>2686050</v>
      </c>
    </row>
    <row r="204" spans="1:7" ht="17.100000000000001" customHeight="1">
      <c r="A204" s="901"/>
      <c r="B204" s="888"/>
      <c r="C204" s="468"/>
      <c r="D204" s="1286" t="s">
        <v>214</v>
      </c>
      <c r="E204" s="1294"/>
      <c r="F204" s="347">
        <f>F205</f>
        <v>888300</v>
      </c>
    </row>
    <row r="205" spans="1:7" ht="17.100000000000001" customHeight="1">
      <c r="A205" s="901"/>
      <c r="B205" s="888"/>
      <c r="C205" s="468"/>
      <c r="D205" s="1292" t="s">
        <v>226</v>
      </c>
      <c r="E205" s="1293"/>
      <c r="F205" s="347">
        <f>SUM(F206:F209)</f>
        <v>888300</v>
      </c>
    </row>
    <row r="206" spans="1:7" ht="17.100000000000001" customHeight="1">
      <c r="A206" s="901"/>
      <c r="B206" s="1267"/>
      <c r="C206" s="1268"/>
      <c r="D206" s="472" t="s">
        <v>237</v>
      </c>
      <c r="E206" s="346" t="s">
        <v>238</v>
      </c>
      <c r="F206" s="347">
        <f>475000+338300</f>
        <v>813300</v>
      </c>
    </row>
    <row r="207" spans="1:7" ht="17.100000000000001" customHeight="1">
      <c r="A207" s="901"/>
      <c r="B207" s="1267"/>
      <c r="C207" s="1268"/>
      <c r="D207" s="472" t="s">
        <v>245</v>
      </c>
      <c r="E207" s="346" t="s">
        <v>246</v>
      </c>
      <c r="F207" s="347">
        <f>55000</f>
        <v>55000</v>
      </c>
    </row>
    <row r="208" spans="1:7" ht="17.100000000000001" customHeight="1">
      <c r="A208" s="901"/>
      <c r="B208" s="1267"/>
      <c r="C208" s="1268"/>
      <c r="D208" s="472" t="s">
        <v>333</v>
      </c>
      <c r="E208" s="346" t="s">
        <v>334</v>
      </c>
      <c r="F208" s="347">
        <f>15000</f>
        <v>15000</v>
      </c>
    </row>
    <row r="209" spans="1:6" ht="17.100000000000001" customHeight="1">
      <c r="A209" s="901"/>
      <c r="B209" s="883"/>
      <c r="C209" s="462"/>
      <c r="D209" s="472" t="s">
        <v>335</v>
      </c>
      <c r="E209" s="346" t="s">
        <v>336</v>
      </c>
      <c r="F209" s="347">
        <f>5000</f>
        <v>5000</v>
      </c>
    </row>
    <row r="210" spans="1:6" ht="17.100000000000001" customHeight="1">
      <c r="A210" s="901"/>
      <c r="B210" s="883"/>
      <c r="C210" s="462"/>
      <c r="D210" s="1267"/>
      <c r="E210" s="1269"/>
      <c r="F210" s="1270"/>
    </row>
    <row r="211" spans="1:6" ht="17.100000000000001" customHeight="1">
      <c r="A211" s="901"/>
      <c r="B211" s="883"/>
      <c r="C211" s="462"/>
      <c r="D211" s="1286" t="s">
        <v>286</v>
      </c>
      <c r="E211" s="1294"/>
      <c r="F211" s="347">
        <f>F212</f>
        <v>1797750</v>
      </c>
    </row>
    <row r="212" spans="1:6" ht="45" customHeight="1">
      <c r="A212" s="901"/>
      <c r="B212" s="1267"/>
      <c r="C212" s="1268"/>
      <c r="D212" s="472" t="s">
        <v>337</v>
      </c>
      <c r="E212" s="346" t="s">
        <v>338</v>
      </c>
      <c r="F212" s="347">
        <f>1797750</f>
        <v>1797750</v>
      </c>
    </row>
    <row r="213" spans="1:6" ht="21" customHeight="1">
      <c r="A213" s="901"/>
      <c r="B213" s="883"/>
      <c r="C213" s="462"/>
      <c r="D213" s="1267"/>
      <c r="E213" s="1323"/>
      <c r="F213" s="1324"/>
    </row>
    <row r="214" spans="1:6" ht="21" customHeight="1">
      <c r="A214" s="901"/>
      <c r="B214" s="883"/>
      <c r="C214" s="462"/>
      <c r="D214" s="1296" t="s">
        <v>281</v>
      </c>
      <c r="E214" s="1332"/>
      <c r="F214" s="347">
        <f>F215</f>
        <v>7000</v>
      </c>
    </row>
    <row r="215" spans="1:6" ht="21" customHeight="1">
      <c r="A215" s="901"/>
      <c r="B215" s="883"/>
      <c r="C215" s="462"/>
      <c r="D215" s="1290" t="s">
        <v>904</v>
      </c>
      <c r="E215" s="1291"/>
      <c r="F215" s="347">
        <f>F216</f>
        <v>7000</v>
      </c>
    </row>
    <row r="216" spans="1:6" ht="21" customHeight="1">
      <c r="A216" s="901"/>
      <c r="B216" s="883"/>
      <c r="C216" s="462"/>
      <c r="D216" s="472" t="s">
        <v>270</v>
      </c>
      <c r="E216" s="346" t="s">
        <v>271</v>
      </c>
      <c r="F216" s="347">
        <f>7000</f>
        <v>7000</v>
      </c>
    </row>
    <row r="217" spans="1:6" ht="17.100000000000001" customHeight="1">
      <c r="A217" s="900" t="s">
        <v>339</v>
      </c>
      <c r="B217" s="1276"/>
      <c r="C217" s="1277"/>
      <c r="D217" s="337"/>
      <c r="E217" s="338" t="s">
        <v>340</v>
      </c>
      <c r="F217" s="339">
        <f>F218</f>
        <v>828000</v>
      </c>
    </row>
    <row r="218" spans="1:6" ht="26.25" customHeight="1">
      <c r="A218" s="901"/>
      <c r="B218" s="1278" t="s">
        <v>341</v>
      </c>
      <c r="C218" s="1279"/>
      <c r="D218" s="340"/>
      <c r="E218" s="341" t="s">
        <v>342</v>
      </c>
      <c r="F218" s="342">
        <f>F219</f>
        <v>828000</v>
      </c>
    </row>
    <row r="219" spans="1:6" ht="17.100000000000001" customHeight="1">
      <c r="A219" s="901"/>
      <c r="B219" s="1280"/>
      <c r="C219" s="1281"/>
      <c r="D219" s="1284" t="s">
        <v>213</v>
      </c>
      <c r="E219" s="1285"/>
      <c r="F219" s="343">
        <f>F220</f>
        <v>828000</v>
      </c>
    </row>
    <row r="220" spans="1:6" ht="17.100000000000001" customHeight="1">
      <c r="A220" s="901"/>
      <c r="B220" s="1282"/>
      <c r="C220" s="1283"/>
      <c r="D220" s="1286" t="s">
        <v>343</v>
      </c>
      <c r="E220" s="1294"/>
      <c r="F220" s="347">
        <f>SUM(F221:F250)</f>
        <v>828000</v>
      </c>
    </row>
    <row r="221" spans="1:6" ht="17.100000000000001" customHeight="1">
      <c r="A221" s="901"/>
      <c r="B221" s="1282"/>
      <c r="C221" s="1283"/>
      <c r="D221" s="472" t="s">
        <v>291</v>
      </c>
      <c r="E221" s="346" t="s">
        <v>217</v>
      </c>
      <c r="F221" s="347">
        <f>379500</f>
        <v>379500</v>
      </c>
    </row>
    <row r="222" spans="1:6" ht="17.100000000000001" customHeight="1">
      <c r="A222" s="901"/>
      <c r="B222" s="1267"/>
      <c r="C222" s="1268"/>
      <c r="D222" s="472" t="s">
        <v>292</v>
      </c>
      <c r="E222" s="346" t="s">
        <v>217</v>
      </c>
      <c r="F222" s="347">
        <f>126500</f>
        <v>126500</v>
      </c>
    </row>
    <row r="223" spans="1:6" ht="17.100000000000001" customHeight="1">
      <c r="A223" s="901"/>
      <c r="B223" s="1267"/>
      <c r="C223" s="1268"/>
      <c r="D223" s="472" t="s">
        <v>293</v>
      </c>
      <c r="E223" s="346" t="s">
        <v>219</v>
      </c>
      <c r="F223" s="347">
        <f>27000</f>
        <v>27000</v>
      </c>
    </row>
    <row r="224" spans="1:6" ht="17.100000000000001" customHeight="1">
      <c r="A224" s="901"/>
      <c r="B224" s="1267"/>
      <c r="C224" s="1268"/>
      <c r="D224" s="472" t="s">
        <v>294</v>
      </c>
      <c r="E224" s="346" t="s">
        <v>219</v>
      </c>
      <c r="F224" s="347">
        <f>9000</f>
        <v>9000</v>
      </c>
    </row>
    <row r="225" spans="1:6" ht="17.100000000000001" customHeight="1">
      <c r="A225" s="901"/>
      <c r="B225" s="1267"/>
      <c r="C225" s="1268"/>
      <c r="D225" s="472" t="s">
        <v>295</v>
      </c>
      <c r="E225" s="346" t="s">
        <v>221</v>
      </c>
      <c r="F225" s="347">
        <f>72000</f>
        <v>72000</v>
      </c>
    </row>
    <row r="226" spans="1:6" ht="17.100000000000001" customHeight="1">
      <c r="A226" s="901"/>
      <c r="B226" s="1267"/>
      <c r="C226" s="1268"/>
      <c r="D226" s="472" t="s">
        <v>296</v>
      </c>
      <c r="E226" s="346" t="s">
        <v>221</v>
      </c>
      <c r="F226" s="347">
        <f>24000</f>
        <v>24000</v>
      </c>
    </row>
    <row r="227" spans="1:6" ht="17.100000000000001" customHeight="1">
      <c r="A227" s="901"/>
      <c r="B227" s="1267"/>
      <c r="C227" s="1268"/>
      <c r="D227" s="472" t="s">
        <v>297</v>
      </c>
      <c r="E227" s="346" t="s">
        <v>223</v>
      </c>
      <c r="F227" s="347">
        <f>10500</f>
        <v>10500</v>
      </c>
    </row>
    <row r="228" spans="1:6" ht="17.100000000000001" customHeight="1">
      <c r="A228" s="901"/>
      <c r="B228" s="1267"/>
      <c r="C228" s="1268"/>
      <c r="D228" s="472" t="s">
        <v>298</v>
      </c>
      <c r="E228" s="346" t="s">
        <v>223</v>
      </c>
      <c r="F228" s="347">
        <f>3500</f>
        <v>3500</v>
      </c>
    </row>
    <row r="229" spans="1:6" ht="17.100000000000001" customHeight="1">
      <c r="A229" s="901"/>
      <c r="B229" s="883"/>
      <c r="C229" s="462"/>
      <c r="D229" s="472" t="s">
        <v>299</v>
      </c>
      <c r="E229" s="346" t="s">
        <v>225</v>
      </c>
      <c r="F229" s="347">
        <f>3000</f>
        <v>3000</v>
      </c>
    </row>
    <row r="230" spans="1:6" ht="17.100000000000001" customHeight="1">
      <c r="A230" s="901"/>
      <c r="B230" s="883"/>
      <c r="C230" s="462"/>
      <c r="D230" s="472" t="s">
        <v>300</v>
      </c>
      <c r="E230" s="346" t="s">
        <v>225</v>
      </c>
      <c r="F230" s="347">
        <f>1000</f>
        <v>1000</v>
      </c>
    </row>
    <row r="231" spans="1:6" ht="17.100000000000001" hidden="1" customHeight="1">
      <c r="A231" s="901"/>
      <c r="B231" s="1267"/>
      <c r="C231" s="1268"/>
      <c r="D231" s="472" t="s">
        <v>229</v>
      </c>
      <c r="E231" s="346" t="s">
        <v>230</v>
      </c>
      <c r="F231" s="347"/>
    </row>
    <row r="232" spans="1:6" ht="17.100000000000001" customHeight="1">
      <c r="A232" s="901"/>
      <c r="B232" s="1267"/>
      <c r="C232" s="1268"/>
      <c r="D232" s="472" t="s">
        <v>301</v>
      </c>
      <c r="E232" s="346" t="s">
        <v>230</v>
      </c>
      <c r="F232" s="347">
        <f>37500</f>
        <v>37500</v>
      </c>
    </row>
    <row r="233" spans="1:6" ht="17.100000000000001" customHeight="1">
      <c r="A233" s="901"/>
      <c r="B233" s="1267"/>
      <c r="C233" s="1268"/>
      <c r="D233" s="472" t="s">
        <v>302</v>
      </c>
      <c r="E233" s="346" t="s">
        <v>230</v>
      </c>
      <c r="F233" s="347">
        <f>12500</f>
        <v>12500</v>
      </c>
    </row>
    <row r="234" spans="1:6" ht="17.100000000000001" hidden="1" customHeight="1">
      <c r="A234" s="901"/>
      <c r="B234" s="1267"/>
      <c r="C234" s="1268"/>
      <c r="D234" s="472" t="s">
        <v>237</v>
      </c>
      <c r="E234" s="346" t="s">
        <v>238</v>
      </c>
      <c r="F234" s="347"/>
    </row>
    <row r="235" spans="1:6" ht="17.100000000000001" customHeight="1">
      <c r="A235" s="901"/>
      <c r="B235" s="1267"/>
      <c r="C235" s="1268"/>
      <c r="D235" s="472" t="s">
        <v>303</v>
      </c>
      <c r="E235" s="346" t="s">
        <v>238</v>
      </c>
      <c r="F235" s="347">
        <f>52500</f>
        <v>52500</v>
      </c>
    </row>
    <row r="236" spans="1:6" ht="17.100000000000001" customHeight="1">
      <c r="A236" s="901"/>
      <c r="B236" s="1267"/>
      <c r="C236" s="1268"/>
      <c r="D236" s="472" t="s">
        <v>304</v>
      </c>
      <c r="E236" s="346" t="s">
        <v>238</v>
      </c>
      <c r="F236" s="347">
        <f>17500</f>
        <v>17500</v>
      </c>
    </row>
    <row r="237" spans="1:6" ht="17.100000000000001" hidden="1" customHeight="1">
      <c r="A237" s="901"/>
      <c r="B237" s="883"/>
      <c r="C237" s="462"/>
      <c r="D237" s="472" t="s">
        <v>239</v>
      </c>
      <c r="E237" s="346" t="s">
        <v>240</v>
      </c>
      <c r="F237" s="347"/>
    </row>
    <row r="238" spans="1:6" ht="17.100000000000001" hidden="1" customHeight="1">
      <c r="A238" s="901"/>
      <c r="B238" s="883"/>
      <c r="C238" s="462"/>
      <c r="D238" s="472" t="s">
        <v>305</v>
      </c>
      <c r="E238" s="346" t="s">
        <v>240</v>
      </c>
      <c r="F238" s="347"/>
    </row>
    <row r="239" spans="1:6" ht="17.100000000000001" hidden="1" customHeight="1">
      <c r="A239" s="901"/>
      <c r="B239" s="883"/>
      <c r="C239" s="462"/>
      <c r="D239" s="472" t="s">
        <v>306</v>
      </c>
      <c r="E239" s="346" t="s">
        <v>240</v>
      </c>
      <c r="F239" s="347"/>
    </row>
    <row r="240" spans="1:6" ht="31.5" hidden="1" customHeight="1">
      <c r="A240" s="901"/>
      <c r="B240" s="1267"/>
      <c r="C240" s="1268"/>
      <c r="D240" s="472" t="s">
        <v>241</v>
      </c>
      <c r="E240" s="346" t="s">
        <v>242</v>
      </c>
      <c r="F240" s="347"/>
    </row>
    <row r="241" spans="1:6" ht="31.5" hidden="1" customHeight="1">
      <c r="A241" s="901"/>
      <c r="B241" s="1267"/>
      <c r="C241" s="1268"/>
      <c r="D241" s="472" t="s">
        <v>307</v>
      </c>
      <c r="E241" s="346" t="s">
        <v>242</v>
      </c>
      <c r="F241" s="347"/>
    </row>
    <row r="242" spans="1:6" ht="29.25" hidden="1" customHeight="1">
      <c r="A242" s="901"/>
      <c r="B242" s="1267"/>
      <c r="C242" s="1268"/>
      <c r="D242" s="472" t="s">
        <v>308</v>
      </c>
      <c r="E242" s="346" t="s">
        <v>242</v>
      </c>
      <c r="F242" s="347"/>
    </row>
    <row r="243" spans="1:6" ht="17.100000000000001" hidden="1" customHeight="1">
      <c r="A243" s="901"/>
      <c r="B243" s="1267"/>
      <c r="C243" s="1268"/>
      <c r="D243" s="472" t="s">
        <v>249</v>
      </c>
      <c r="E243" s="346" t="s">
        <v>250</v>
      </c>
      <c r="F243" s="347"/>
    </row>
    <row r="244" spans="1:6" ht="17.100000000000001" customHeight="1">
      <c r="A244" s="901"/>
      <c r="B244" s="1267"/>
      <c r="C244" s="1268"/>
      <c r="D244" s="472" t="s">
        <v>309</v>
      </c>
      <c r="E244" s="346" t="s">
        <v>250</v>
      </c>
      <c r="F244" s="347">
        <f>10500</f>
        <v>10500</v>
      </c>
    </row>
    <row r="245" spans="1:6" ht="17.100000000000001" customHeight="1">
      <c r="A245" s="901"/>
      <c r="B245" s="1267"/>
      <c r="C245" s="1268"/>
      <c r="D245" s="472" t="s">
        <v>310</v>
      </c>
      <c r="E245" s="346" t="s">
        <v>250</v>
      </c>
      <c r="F245" s="347">
        <f>3500</f>
        <v>3500</v>
      </c>
    </row>
    <row r="246" spans="1:6" ht="17.100000000000001" customHeight="1">
      <c r="A246" s="901"/>
      <c r="B246" s="883"/>
      <c r="C246" s="462"/>
      <c r="D246" s="472" t="s">
        <v>313</v>
      </c>
      <c r="E246" s="346" t="s">
        <v>312</v>
      </c>
      <c r="F246" s="347">
        <f>7500</f>
        <v>7500</v>
      </c>
    </row>
    <row r="247" spans="1:6" ht="17.100000000000001" customHeight="1">
      <c r="A247" s="901"/>
      <c r="B247" s="883"/>
      <c r="C247" s="462"/>
      <c r="D247" s="472" t="s">
        <v>314</v>
      </c>
      <c r="E247" s="346" t="s">
        <v>312</v>
      </c>
      <c r="F247" s="347">
        <f>2500</f>
        <v>2500</v>
      </c>
    </row>
    <row r="248" spans="1:6" ht="17.100000000000001" hidden="1" customHeight="1">
      <c r="A248" s="901"/>
      <c r="B248" s="1267"/>
      <c r="C248" s="1268"/>
      <c r="D248" s="472" t="s">
        <v>261</v>
      </c>
      <c r="E248" s="346" t="s">
        <v>262</v>
      </c>
      <c r="F248" s="347"/>
    </row>
    <row r="249" spans="1:6" ht="17.100000000000001" customHeight="1">
      <c r="A249" s="901"/>
      <c r="B249" s="1267"/>
      <c r="C249" s="1268"/>
      <c r="D249" s="472" t="s">
        <v>317</v>
      </c>
      <c r="E249" s="346" t="s">
        <v>262</v>
      </c>
      <c r="F249" s="347">
        <f>9000</f>
        <v>9000</v>
      </c>
    </row>
    <row r="250" spans="1:6" ht="17.100000000000001" customHeight="1">
      <c r="A250" s="901"/>
      <c r="B250" s="1267"/>
      <c r="C250" s="1268"/>
      <c r="D250" s="472" t="s">
        <v>318</v>
      </c>
      <c r="E250" s="346" t="s">
        <v>262</v>
      </c>
      <c r="F250" s="347">
        <f>19000</f>
        <v>19000</v>
      </c>
    </row>
    <row r="251" spans="1:6" ht="17.100000000000001" customHeight="1">
      <c r="A251" s="900" t="s">
        <v>344</v>
      </c>
      <c r="B251" s="1276"/>
      <c r="C251" s="1277"/>
      <c r="D251" s="337"/>
      <c r="E251" s="338" t="s">
        <v>345</v>
      </c>
      <c r="F251" s="339">
        <f>F252+F260</f>
        <v>19053370</v>
      </c>
    </row>
    <row r="252" spans="1:6" ht="17.100000000000001" customHeight="1">
      <c r="A252" s="901"/>
      <c r="B252" s="1278" t="s">
        <v>346</v>
      </c>
      <c r="C252" s="1279"/>
      <c r="D252" s="340"/>
      <c r="E252" s="341" t="s">
        <v>347</v>
      </c>
      <c r="F252" s="342">
        <f>F253+F257</f>
        <v>15938370</v>
      </c>
    </row>
    <row r="253" spans="1:6" ht="17.100000000000001" customHeight="1">
      <c r="A253" s="901"/>
      <c r="B253" s="1280"/>
      <c r="C253" s="1281"/>
      <c r="D253" s="1284" t="s">
        <v>213</v>
      </c>
      <c r="E253" s="1285"/>
      <c r="F253" s="343">
        <f>F254</f>
        <v>7095370</v>
      </c>
    </row>
    <row r="254" spans="1:6" ht="17.100000000000001" customHeight="1">
      <c r="A254" s="901"/>
      <c r="B254" s="1282"/>
      <c r="C254" s="1283"/>
      <c r="D254" s="1286" t="s">
        <v>286</v>
      </c>
      <c r="E254" s="1294"/>
      <c r="F254" s="347">
        <f>F255</f>
        <v>7095370</v>
      </c>
    </row>
    <row r="255" spans="1:6" ht="43.5" customHeight="1">
      <c r="A255" s="901"/>
      <c r="B255" s="1282"/>
      <c r="C255" s="1283"/>
      <c r="D255" s="472" t="s">
        <v>348</v>
      </c>
      <c r="E255" s="346" t="s">
        <v>349</v>
      </c>
      <c r="F255" s="347">
        <f>7095370</f>
        <v>7095370</v>
      </c>
    </row>
    <row r="256" spans="1:6" ht="17.100000000000001" customHeight="1">
      <c r="A256" s="901"/>
      <c r="B256" s="889"/>
      <c r="C256" s="468"/>
      <c r="D256" s="1267"/>
      <c r="E256" s="1269"/>
      <c r="F256" s="1270"/>
    </row>
    <row r="257" spans="1:7" ht="17.100000000000001" customHeight="1">
      <c r="A257" s="901"/>
      <c r="B257" s="889"/>
      <c r="C257" s="468"/>
      <c r="D257" s="1296" t="s">
        <v>281</v>
      </c>
      <c r="E257" s="1297"/>
      <c r="F257" s="343">
        <f>F258</f>
        <v>8843000</v>
      </c>
    </row>
    <row r="258" spans="1:7" ht="17.100000000000001" customHeight="1">
      <c r="A258" s="901"/>
      <c r="B258" s="889"/>
      <c r="C258" s="468"/>
      <c r="D258" s="1290" t="s">
        <v>904</v>
      </c>
      <c r="E258" s="1291"/>
      <c r="F258" s="347">
        <f>F259</f>
        <v>8843000</v>
      </c>
    </row>
    <row r="259" spans="1:7" ht="41.25" customHeight="1">
      <c r="A259" s="901"/>
      <c r="B259" s="1267"/>
      <c r="C259" s="1268"/>
      <c r="D259" s="472" t="s">
        <v>350</v>
      </c>
      <c r="E259" s="346" t="s">
        <v>349</v>
      </c>
      <c r="F259" s="347">
        <f>8843000</f>
        <v>8843000</v>
      </c>
      <c r="G259" s="368"/>
    </row>
    <row r="260" spans="1:7" ht="17.100000000000001" customHeight="1">
      <c r="A260" s="901"/>
      <c r="B260" s="1278" t="s">
        <v>351</v>
      </c>
      <c r="C260" s="1279"/>
      <c r="D260" s="340"/>
      <c r="E260" s="341" t="s">
        <v>352</v>
      </c>
      <c r="F260" s="342">
        <f>F261</f>
        <v>3115000</v>
      </c>
    </row>
    <row r="261" spans="1:7" ht="17.100000000000001" customHeight="1">
      <c r="A261" s="901"/>
      <c r="B261" s="1282"/>
      <c r="C261" s="1283"/>
      <c r="D261" s="1284" t="s">
        <v>213</v>
      </c>
      <c r="E261" s="1285"/>
      <c r="F261" s="343">
        <f>F262</f>
        <v>3115000</v>
      </c>
    </row>
    <row r="262" spans="1:7" ht="17.100000000000001" customHeight="1">
      <c r="A262" s="901"/>
      <c r="B262" s="1282"/>
      <c r="C262" s="1283"/>
      <c r="D262" s="1286" t="s">
        <v>286</v>
      </c>
      <c r="E262" s="1294"/>
      <c r="F262" s="347">
        <f>F263</f>
        <v>3115000</v>
      </c>
    </row>
    <row r="263" spans="1:7" ht="40.5" customHeight="1">
      <c r="A263" s="901"/>
      <c r="B263" s="1303"/>
      <c r="C263" s="1308"/>
      <c r="D263" s="472" t="s">
        <v>348</v>
      </c>
      <c r="E263" s="346" t="s">
        <v>349</v>
      </c>
      <c r="F263" s="347">
        <f>3115000</f>
        <v>3115000</v>
      </c>
    </row>
    <row r="264" spans="1:7" ht="17.100000000000001" customHeight="1">
      <c r="A264" s="900" t="s">
        <v>353</v>
      </c>
      <c r="B264" s="1276"/>
      <c r="C264" s="1277"/>
      <c r="D264" s="337"/>
      <c r="E264" s="338" t="s">
        <v>354</v>
      </c>
      <c r="F264" s="339">
        <f>F265+F269</f>
        <v>2422844</v>
      </c>
    </row>
    <row r="265" spans="1:7" ht="17.100000000000001" hidden="1" customHeight="1">
      <c r="A265" s="901"/>
      <c r="B265" s="1278" t="s">
        <v>355</v>
      </c>
      <c r="C265" s="1279"/>
      <c r="D265" s="340"/>
      <c r="E265" s="341" t="s">
        <v>356</v>
      </c>
      <c r="F265" s="342">
        <f>F266</f>
        <v>0</v>
      </c>
    </row>
    <row r="266" spans="1:7" ht="17.100000000000001" hidden="1" customHeight="1">
      <c r="A266" s="901"/>
      <c r="B266" s="1280"/>
      <c r="C266" s="1338"/>
      <c r="D266" s="1296" t="s">
        <v>281</v>
      </c>
      <c r="E266" s="1297"/>
      <c r="F266" s="343">
        <f>F267</f>
        <v>0</v>
      </c>
    </row>
    <row r="267" spans="1:7" ht="17.100000000000001" hidden="1" customHeight="1">
      <c r="A267" s="901"/>
      <c r="B267" s="1339"/>
      <c r="C267" s="1340"/>
      <c r="D267" s="1290" t="s">
        <v>267</v>
      </c>
      <c r="E267" s="1291"/>
      <c r="F267" s="347">
        <f>F268</f>
        <v>0</v>
      </c>
    </row>
    <row r="268" spans="1:7" ht="40.5" hidden="1" customHeight="1">
      <c r="A268" s="901"/>
      <c r="B268" s="1341"/>
      <c r="C268" s="1342"/>
      <c r="D268" s="472" t="s">
        <v>350</v>
      </c>
      <c r="E268" s="346" t="s">
        <v>349</v>
      </c>
      <c r="F268" s="347"/>
      <c r="G268" s="368"/>
    </row>
    <row r="269" spans="1:7" ht="18" customHeight="1">
      <c r="A269" s="901"/>
      <c r="B269" s="469"/>
      <c r="C269" s="369" t="s">
        <v>357</v>
      </c>
      <c r="D269" s="370"/>
      <c r="E269" s="341" t="s">
        <v>332</v>
      </c>
      <c r="F269" s="371">
        <f>F270</f>
        <v>2422844</v>
      </c>
      <c r="G269" s="368"/>
    </row>
    <row r="270" spans="1:7" ht="20.25" customHeight="1">
      <c r="A270" s="901"/>
      <c r="B270" s="469"/>
      <c r="C270" s="1281"/>
      <c r="D270" s="1296" t="s">
        <v>281</v>
      </c>
      <c r="E270" s="1332"/>
      <c r="F270" s="347">
        <f>F271</f>
        <v>2422844</v>
      </c>
      <c r="G270" s="368"/>
    </row>
    <row r="271" spans="1:7" ht="16.5" customHeight="1">
      <c r="A271" s="901"/>
      <c r="B271" s="469"/>
      <c r="C271" s="1283"/>
      <c r="D271" s="1290" t="s">
        <v>904</v>
      </c>
      <c r="E271" s="1291"/>
      <c r="F271" s="347">
        <f>F272</f>
        <v>2422844</v>
      </c>
      <c r="G271" s="368"/>
    </row>
    <row r="272" spans="1:7" ht="47.25" customHeight="1">
      <c r="A272" s="901"/>
      <c r="B272" s="469"/>
      <c r="C272" s="1343"/>
      <c r="D272" s="472" t="s">
        <v>350</v>
      </c>
      <c r="E272" s="372" t="s">
        <v>349</v>
      </c>
      <c r="F272" s="347">
        <f>2422844</f>
        <v>2422844</v>
      </c>
      <c r="G272" s="368"/>
    </row>
    <row r="273" spans="1:6" ht="17.100000000000001" customHeight="1">
      <c r="A273" s="900" t="s">
        <v>358</v>
      </c>
      <c r="B273" s="1276"/>
      <c r="C273" s="1277"/>
      <c r="D273" s="337"/>
      <c r="E273" s="338" t="s">
        <v>359</v>
      </c>
      <c r="F273" s="339">
        <f>F274</f>
        <v>273706</v>
      </c>
    </row>
    <row r="274" spans="1:6" ht="17.100000000000001" customHeight="1">
      <c r="A274" s="901"/>
      <c r="B274" s="1278" t="s">
        <v>360</v>
      </c>
      <c r="C274" s="1279"/>
      <c r="D274" s="340"/>
      <c r="E274" s="341" t="s">
        <v>361</v>
      </c>
      <c r="F274" s="342">
        <f>F275</f>
        <v>273706</v>
      </c>
    </row>
    <row r="275" spans="1:6" ht="17.100000000000001" customHeight="1">
      <c r="A275" s="901"/>
      <c r="B275" s="1280"/>
      <c r="C275" s="1281"/>
      <c r="D275" s="1284" t="s">
        <v>213</v>
      </c>
      <c r="E275" s="1285"/>
      <c r="F275" s="343">
        <f>F282+F276</f>
        <v>273706</v>
      </c>
    </row>
    <row r="276" spans="1:6" ht="17.100000000000001" customHeight="1">
      <c r="A276" s="901"/>
      <c r="B276" s="1282"/>
      <c r="C276" s="1283"/>
      <c r="D276" s="1333" t="s">
        <v>214</v>
      </c>
      <c r="E276" s="1334"/>
      <c r="F276" s="347">
        <f>F277</f>
        <v>142366</v>
      </c>
    </row>
    <row r="277" spans="1:6" ht="17.100000000000001" customHeight="1">
      <c r="A277" s="901"/>
      <c r="B277" s="1282"/>
      <c r="C277" s="1283"/>
      <c r="D277" s="1335" t="s">
        <v>215</v>
      </c>
      <c r="E277" s="1336"/>
      <c r="F277" s="347">
        <f>F278+F279+F280</f>
        <v>142366</v>
      </c>
    </row>
    <row r="278" spans="1:6" ht="17.100000000000001" customHeight="1">
      <c r="A278" s="901"/>
      <c r="B278" s="1282"/>
      <c r="C278" s="1283"/>
      <c r="D278" s="373" t="s">
        <v>216</v>
      </c>
      <c r="E278" s="374" t="s">
        <v>217</v>
      </c>
      <c r="F278" s="347">
        <f>114000</f>
        <v>114000</v>
      </c>
    </row>
    <row r="279" spans="1:6" ht="17.100000000000001" customHeight="1">
      <c r="A279" s="901"/>
      <c r="B279" s="1282"/>
      <c r="C279" s="1283"/>
      <c r="D279" s="373" t="s">
        <v>220</v>
      </c>
      <c r="E279" s="374" t="s">
        <v>221</v>
      </c>
      <c r="F279" s="347">
        <f>25000</f>
        <v>25000</v>
      </c>
    </row>
    <row r="280" spans="1:6" ht="15.75" customHeight="1">
      <c r="A280" s="901"/>
      <c r="B280" s="1282"/>
      <c r="C280" s="1283"/>
      <c r="D280" s="373" t="s">
        <v>222</v>
      </c>
      <c r="E280" s="374" t="s">
        <v>223</v>
      </c>
      <c r="F280" s="347">
        <f>3366</f>
        <v>3366</v>
      </c>
    </row>
    <row r="281" spans="1:6" ht="17.100000000000001" customHeight="1">
      <c r="A281" s="901"/>
      <c r="B281" s="1282"/>
      <c r="C281" s="1283"/>
      <c r="D281" s="1337"/>
      <c r="E281" s="1323"/>
      <c r="F281" s="1324"/>
    </row>
    <row r="282" spans="1:6" ht="17.100000000000001" customHeight="1">
      <c r="A282" s="901"/>
      <c r="B282" s="1282"/>
      <c r="C282" s="1283"/>
      <c r="D282" s="1286" t="s">
        <v>343</v>
      </c>
      <c r="E282" s="1294"/>
      <c r="F282" s="347">
        <f>SUM(F283:F294)</f>
        <v>131340</v>
      </c>
    </row>
    <row r="283" spans="1:6" ht="17.100000000000001" customHeight="1">
      <c r="A283" s="901"/>
      <c r="B283" s="1282"/>
      <c r="C283" s="1283"/>
      <c r="D283" s="472" t="s">
        <v>362</v>
      </c>
      <c r="E283" s="346" t="s">
        <v>217</v>
      </c>
      <c r="F283" s="347">
        <f>69275</f>
        <v>69275</v>
      </c>
    </row>
    <row r="284" spans="1:6" ht="17.100000000000001" customHeight="1">
      <c r="A284" s="901"/>
      <c r="B284" s="1267"/>
      <c r="C284" s="1268"/>
      <c r="D284" s="472" t="s">
        <v>292</v>
      </c>
      <c r="E284" s="346" t="s">
        <v>217</v>
      </c>
      <c r="F284" s="347">
        <f>12225</f>
        <v>12225</v>
      </c>
    </row>
    <row r="285" spans="1:6" ht="17.100000000000001" customHeight="1">
      <c r="A285" s="901"/>
      <c r="B285" s="1267"/>
      <c r="C285" s="1268"/>
      <c r="D285" s="472" t="s">
        <v>363</v>
      </c>
      <c r="E285" s="346" t="s">
        <v>221</v>
      </c>
      <c r="F285" s="347">
        <f>11815</f>
        <v>11815</v>
      </c>
    </row>
    <row r="286" spans="1:6" ht="17.100000000000001" customHeight="1">
      <c r="A286" s="901"/>
      <c r="B286" s="1267"/>
      <c r="C286" s="1268"/>
      <c r="D286" s="472" t="s">
        <v>296</v>
      </c>
      <c r="E286" s="346" t="s">
        <v>221</v>
      </c>
      <c r="F286" s="347">
        <f>2085</f>
        <v>2085</v>
      </c>
    </row>
    <row r="287" spans="1:6" ht="17.100000000000001" customHeight="1">
      <c r="A287" s="901"/>
      <c r="B287" s="1267"/>
      <c r="C287" s="1268"/>
      <c r="D287" s="472" t="s">
        <v>364</v>
      </c>
      <c r="E287" s="346" t="s">
        <v>223</v>
      </c>
      <c r="F287" s="347">
        <f>2499</f>
        <v>2499</v>
      </c>
    </row>
    <row r="288" spans="1:6" ht="17.100000000000001" customHeight="1">
      <c r="A288" s="901"/>
      <c r="B288" s="1267"/>
      <c r="C288" s="1268"/>
      <c r="D288" s="472" t="s">
        <v>298</v>
      </c>
      <c r="E288" s="346" t="s">
        <v>223</v>
      </c>
      <c r="F288" s="347">
        <f>441</f>
        <v>441</v>
      </c>
    </row>
    <row r="289" spans="1:6" ht="17.100000000000001" customHeight="1">
      <c r="A289" s="901"/>
      <c r="B289" s="1267"/>
      <c r="C289" s="1268"/>
      <c r="D289" s="472" t="s">
        <v>365</v>
      </c>
      <c r="E289" s="346" t="s">
        <v>230</v>
      </c>
      <c r="F289" s="347">
        <f>2550</f>
        <v>2550</v>
      </c>
    </row>
    <row r="290" spans="1:6" ht="17.100000000000001" customHeight="1">
      <c r="A290" s="901"/>
      <c r="B290" s="1267"/>
      <c r="C290" s="1268"/>
      <c r="D290" s="472" t="s">
        <v>302</v>
      </c>
      <c r="E290" s="346" t="s">
        <v>230</v>
      </c>
      <c r="F290" s="347">
        <f>450</f>
        <v>450</v>
      </c>
    </row>
    <row r="291" spans="1:6" ht="17.100000000000001" customHeight="1">
      <c r="A291" s="901"/>
      <c r="B291" s="1267"/>
      <c r="C291" s="1268"/>
      <c r="D291" s="472" t="s">
        <v>366</v>
      </c>
      <c r="E291" s="346" t="s">
        <v>238</v>
      </c>
      <c r="F291" s="347">
        <f>25500</f>
        <v>25500</v>
      </c>
    </row>
    <row r="292" spans="1:6" ht="17.100000000000001" customHeight="1">
      <c r="A292" s="901"/>
      <c r="B292" s="1267"/>
      <c r="C292" s="1268"/>
      <c r="D292" s="472" t="s">
        <v>304</v>
      </c>
      <c r="E292" s="346" t="s">
        <v>238</v>
      </c>
      <c r="F292" s="347">
        <f>4500</f>
        <v>4500</v>
      </c>
    </row>
    <row r="293" spans="1:6" ht="17.100000000000001" hidden="1" customHeight="1">
      <c r="A293" s="901"/>
      <c r="B293" s="1267"/>
      <c r="C293" s="1268"/>
      <c r="D293" s="472" t="s">
        <v>367</v>
      </c>
      <c r="E293" s="346" t="s">
        <v>246</v>
      </c>
      <c r="F293" s="347"/>
    </row>
    <row r="294" spans="1:6" ht="17.100000000000001" hidden="1" customHeight="1">
      <c r="A294" s="901"/>
      <c r="B294" s="1299"/>
      <c r="C294" s="1300"/>
      <c r="D294" s="472" t="s">
        <v>368</v>
      </c>
      <c r="E294" s="346" t="s">
        <v>246</v>
      </c>
      <c r="F294" s="347"/>
    </row>
    <row r="295" spans="1:6" ht="17.100000000000001" customHeight="1">
      <c r="A295" s="900" t="s">
        <v>16</v>
      </c>
      <c r="B295" s="1276"/>
      <c r="C295" s="1277"/>
      <c r="D295" s="337"/>
      <c r="E295" s="338" t="s">
        <v>369</v>
      </c>
      <c r="F295" s="339">
        <f>F296+F321+F325+F330+F381+F393+F389+F385</f>
        <v>323096416</v>
      </c>
    </row>
    <row r="296" spans="1:6" ht="17.100000000000001" customHeight="1">
      <c r="A296" s="901"/>
      <c r="B296" s="1278" t="s">
        <v>6</v>
      </c>
      <c r="C296" s="1279"/>
      <c r="D296" s="340"/>
      <c r="E296" s="341" t="s">
        <v>370</v>
      </c>
      <c r="F296" s="342">
        <f>F297+F311</f>
        <v>75677931</v>
      </c>
    </row>
    <row r="297" spans="1:6" ht="17.100000000000001" customHeight="1">
      <c r="A297" s="901"/>
      <c r="B297" s="1326"/>
      <c r="C297" s="1344"/>
      <c r="D297" s="1284" t="s">
        <v>213</v>
      </c>
      <c r="E297" s="1285"/>
      <c r="F297" s="343">
        <f>F298+F304+F307</f>
        <v>51418868</v>
      </c>
    </row>
    <row r="298" spans="1:6" ht="17.100000000000001" customHeight="1">
      <c r="A298" s="901"/>
      <c r="B298" s="1345"/>
      <c r="C298" s="1346"/>
      <c r="D298" s="1286" t="s">
        <v>214</v>
      </c>
      <c r="E298" s="1294"/>
      <c r="F298" s="347">
        <f>F299</f>
        <v>9397946</v>
      </c>
    </row>
    <row r="299" spans="1:6" ht="17.100000000000001" customHeight="1">
      <c r="A299" s="901"/>
      <c r="B299" s="1345"/>
      <c r="C299" s="1346"/>
      <c r="D299" s="1292" t="s">
        <v>226</v>
      </c>
      <c r="E299" s="1293"/>
      <c r="F299" s="345">
        <f>SUM(F300:F302)</f>
        <v>9397946</v>
      </c>
    </row>
    <row r="300" spans="1:6" ht="17.100000000000001" customHeight="1">
      <c r="A300" s="901"/>
      <c r="B300" s="1345"/>
      <c r="C300" s="1346"/>
      <c r="D300" s="472" t="s">
        <v>233</v>
      </c>
      <c r="E300" s="346" t="s">
        <v>234</v>
      </c>
      <c r="F300" s="347">
        <f>8607946</f>
        <v>8607946</v>
      </c>
    </row>
    <row r="301" spans="1:6" ht="17.100000000000001" customHeight="1">
      <c r="A301" s="901"/>
      <c r="B301" s="1345"/>
      <c r="C301" s="1346"/>
      <c r="D301" s="472" t="s">
        <v>245</v>
      </c>
      <c r="E301" s="346" t="s">
        <v>246</v>
      </c>
      <c r="F301" s="347">
        <f>90000</f>
        <v>90000</v>
      </c>
    </row>
    <row r="302" spans="1:6" ht="17.100000000000001" customHeight="1">
      <c r="A302" s="901"/>
      <c r="B302" s="1345"/>
      <c r="C302" s="1346"/>
      <c r="D302" s="472" t="s">
        <v>251</v>
      </c>
      <c r="E302" s="346" t="s">
        <v>252</v>
      </c>
      <c r="F302" s="347">
        <f>700000</f>
        <v>700000</v>
      </c>
    </row>
    <row r="303" spans="1:6" ht="17.100000000000001" customHeight="1">
      <c r="A303" s="901"/>
      <c r="B303" s="1345"/>
      <c r="C303" s="1346"/>
      <c r="D303" s="1267"/>
      <c r="E303" s="1269"/>
      <c r="F303" s="1270"/>
    </row>
    <row r="304" spans="1:6" ht="17.100000000000001" customHeight="1">
      <c r="A304" s="901"/>
      <c r="B304" s="1345"/>
      <c r="C304" s="1346"/>
      <c r="D304" s="1286" t="s">
        <v>286</v>
      </c>
      <c r="E304" s="1294"/>
      <c r="F304" s="347">
        <f>F305</f>
        <v>42015922</v>
      </c>
    </row>
    <row r="305" spans="1:7" ht="29.25" customHeight="1">
      <c r="A305" s="901"/>
      <c r="B305" s="1345"/>
      <c r="C305" s="1346"/>
      <c r="D305" s="472" t="s">
        <v>287</v>
      </c>
      <c r="E305" s="346" t="s">
        <v>371</v>
      </c>
      <c r="F305" s="347">
        <f>42015922</f>
        <v>42015922</v>
      </c>
    </row>
    <row r="306" spans="1:7" ht="17.100000000000001" customHeight="1">
      <c r="A306" s="901"/>
      <c r="B306" s="1345"/>
      <c r="C306" s="1346"/>
      <c r="D306" s="1267"/>
      <c r="E306" s="1269"/>
      <c r="F306" s="1270"/>
    </row>
    <row r="307" spans="1:7" ht="17.100000000000001" customHeight="1">
      <c r="A307" s="901"/>
      <c r="B307" s="1345"/>
      <c r="C307" s="1346"/>
      <c r="D307" s="1286" t="s">
        <v>343</v>
      </c>
      <c r="E307" s="1294"/>
      <c r="F307" s="347">
        <f>SUM(F308:F309)</f>
        <v>5000</v>
      </c>
    </row>
    <row r="308" spans="1:7" ht="17.100000000000001" hidden="1" customHeight="1">
      <c r="A308" s="901"/>
      <c r="B308" s="1345"/>
      <c r="C308" s="1346"/>
      <c r="D308" s="472" t="s">
        <v>367</v>
      </c>
      <c r="E308" s="346" t="s">
        <v>246</v>
      </c>
      <c r="F308" s="347"/>
    </row>
    <row r="309" spans="1:7" ht="17.100000000000001" customHeight="1">
      <c r="A309" s="901"/>
      <c r="B309" s="1345"/>
      <c r="C309" s="1346"/>
      <c r="D309" s="472" t="s">
        <v>368</v>
      </c>
      <c r="E309" s="346" t="s">
        <v>246</v>
      </c>
      <c r="F309" s="347">
        <f>5000</f>
        <v>5000</v>
      </c>
    </row>
    <row r="310" spans="1:7" ht="17.100000000000001" customHeight="1">
      <c r="A310" s="901"/>
      <c r="B310" s="1345"/>
      <c r="C310" s="1346"/>
      <c r="D310" s="1267"/>
      <c r="E310" s="1269"/>
      <c r="F310" s="1270"/>
    </row>
    <row r="311" spans="1:7" ht="17.100000000000001" customHeight="1">
      <c r="A311" s="901"/>
      <c r="B311" s="1345"/>
      <c r="C311" s="1346"/>
      <c r="D311" s="1296" t="s">
        <v>281</v>
      </c>
      <c r="E311" s="1297"/>
      <c r="F311" s="343">
        <f>F312</f>
        <v>24259063</v>
      </c>
    </row>
    <row r="312" spans="1:7" ht="17.100000000000001" customHeight="1">
      <c r="A312" s="901"/>
      <c r="B312" s="1345"/>
      <c r="C312" s="1346"/>
      <c r="D312" s="1290" t="s">
        <v>904</v>
      </c>
      <c r="E312" s="1291"/>
      <c r="F312" s="347">
        <f>SUM(F313:F315)</f>
        <v>24259063</v>
      </c>
    </row>
    <row r="313" spans="1:7" ht="17.100000000000001" customHeight="1">
      <c r="A313" s="901"/>
      <c r="B313" s="1345"/>
      <c r="C313" s="1346"/>
      <c r="D313" s="472" t="s">
        <v>270</v>
      </c>
      <c r="E313" s="346" t="s">
        <v>271</v>
      </c>
      <c r="F313" s="347">
        <f>12871693</f>
        <v>12871693</v>
      </c>
    </row>
    <row r="314" spans="1:7" ht="17.100000000000001" customHeight="1">
      <c r="A314" s="901"/>
      <c r="B314" s="1345"/>
      <c r="C314" s="1346"/>
      <c r="D314" s="472" t="s">
        <v>372</v>
      </c>
      <c r="E314" s="346" t="s">
        <v>271</v>
      </c>
      <c r="F314" s="347">
        <f>8396500</f>
        <v>8396500</v>
      </c>
      <c r="G314" s="368"/>
    </row>
    <row r="315" spans="1:7" ht="17.100000000000001" customHeight="1">
      <c r="A315" s="901"/>
      <c r="B315" s="1345"/>
      <c r="C315" s="1346"/>
      <c r="D315" s="472" t="s">
        <v>320</v>
      </c>
      <c r="E315" s="346" t="s">
        <v>271</v>
      </c>
      <c r="F315" s="347">
        <f>2990870</f>
        <v>2990870</v>
      </c>
      <c r="G315" s="375"/>
    </row>
    <row r="316" spans="1:7" ht="17.100000000000001" customHeight="1">
      <c r="A316" s="901"/>
      <c r="B316" s="1345"/>
      <c r="C316" s="1346"/>
      <c r="D316" s="1267"/>
      <c r="E316" s="1323"/>
      <c r="F316" s="1324"/>
      <c r="G316" s="375"/>
    </row>
    <row r="317" spans="1:7" ht="17.100000000000001" customHeight="1">
      <c r="A317" s="901"/>
      <c r="B317" s="1345"/>
      <c r="C317" s="1346"/>
      <c r="D317" s="1292" t="s">
        <v>284</v>
      </c>
      <c r="E317" s="1307"/>
      <c r="F317" s="347">
        <f>F318+F319+F320</f>
        <v>14753850</v>
      </c>
      <c r="G317" s="375"/>
    </row>
    <row r="318" spans="1:7" ht="17.100000000000001" customHeight="1">
      <c r="A318" s="901"/>
      <c r="B318" s="1345"/>
      <c r="C318" s="1346"/>
      <c r="D318" s="472" t="s">
        <v>270</v>
      </c>
      <c r="E318" s="346" t="s">
        <v>271</v>
      </c>
      <c r="F318" s="347">
        <f>3366480</f>
        <v>3366480</v>
      </c>
      <c r="G318" s="375"/>
    </row>
    <row r="319" spans="1:7" ht="17.100000000000001" customHeight="1">
      <c r="A319" s="901"/>
      <c r="B319" s="1347"/>
      <c r="C319" s="1348"/>
      <c r="D319" s="472" t="s">
        <v>372</v>
      </c>
      <c r="E319" s="346" t="s">
        <v>271</v>
      </c>
      <c r="F319" s="347">
        <f>8396500</f>
        <v>8396500</v>
      </c>
      <c r="G319" s="375"/>
    </row>
    <row r="320" spans="1:7" ht="17.100000000000001" customHeight="1">
      <c r="A320" s="901"/>
      <c r="B320" s="1349"/>
      <c r="C320" s="1350"/>
      <c r="D320" s="472" t="s">
        <v>320</v>
      </c>
      <c r="E320" s="346" t="s">
        <v>271</v>
      </c>
      <c r="F320" s="347">
        <f>2990870</f>
        <v>2990870</v>
      </c>
      <c r="G320" s="375"/>
    </row>
    <row r="321" spans="1:6" ht="17.100000000000001" customHeight="1">
      <c r="A321" s="901"/>
      <c r="B321" s="1278" t="s">
        <v>17</v>
      </c>
      <c r="C321" s="1279"/>
      <c r="D321" s="340"/>
      <c r="E321" s="341" t="s">
        <v>373</v>
      </c>
      <c r="F321" s="376">
        <f>F322</f>
        <v>57400000</v>
      </c>
    </row>
    <row r="322" spans="1:6" ht="17.100000000000001" customHeight="1">
      <c r="A322" s="901"/>
      <c r="B322" s="1280"/>
      <c r="C322" s="1281"/>
      <c r="D322" s="1351" t="s">
        <v>213</v>
      </c>
      <c r="E322" s="1285"/>
      <c r="F322" s="343">
        <f>F323</f>
        <v>57400000</v>
      </c>
    </row>
    <row r="323" spans="1:6" ht="17.100000000000001" customHeight="1">
      <c r="A323" s="901"/>
      <c r="B323" s="1282"/>
      <c r="C323" s="1302"/>
      <c r="D323" s="1286" t="s">
        <v>286</v>
      </c>
      <c r="E323" s="1294"/>
      <c r="F323" s="890">
        <f>F324</f>
        <v>57400000</v>
      </c>
    </row>
    <row r="324" spans="1:6" ht="25.5">
      <c r="A324" s="901"/>
      <c r="B324" s="1303"/>
      <c r="C324" s="1308"/>
      <c r="D324" s="472" t="s">
        <v>18</v>
      </c>
      <c r="E324" s="346" t="s">
        <v>374</v>
      </c>
      <c r="F324" s="377">
        <f>57400000</f>
        <v>57400000</v>
      </c>
    </row>
    <row r="325" spans="1:6" ht="17.100000000000001" customHeight="1">
      <c r="A325" s="901"/>
      <c r="B325" s="1278" t="s">
        <v>375</v>
      </c>
      <c r="C325" s="1279"/>
      <c r="D325" s="340"/>
      <c r="E325" s="341" t="s">
        <v>376</v>
      </c>
      <c r="F325" s="342">
        <f>F326</f>
        <v>159000</v>
      </c>
    </row>
    <row r="326" spans="1:6" ht="17.100000000000001" customHeight="1">
      <c r="A326" s="901"/>
      <c r="B326" s="1280"/>
      <c r="C326" s="1281"/>
      <c r="D326" s="1284" t="s">
        <v>213</v>
      </c>
      <c r="E326" s="1285"/>
      <c r="F326" s="343">
        <f>F327</f>
        <v>159000</v>
      </c>
    </row>
    <row r="327" spans="1:6" ht="17.100000000000001" customHeight="1">
      <c r="A327" s="901"/>
      <c r="B327" s="1282"/>
      <c r="C327" s="1283"/>
      <c r="D327" s="1286" t="s">
        <v>214</v>
      </c>
      <c r="E327" s="1294"/>
      <c r="F327" s="347">
        <f>F328</f>
        <v>159000</v>
      </c>
    </row>
    <row r="328" spans="1:6" ht="17.100000000000001" customHeight="1">
      <c r="A328" s="901"/>
      <c r="B328" s="1282"/>
      <c r="C328" s="1283"/>
      <c r="D328" s="1292" t="s">
        <v>226</v>
      </c>
      <c r="E328" s="1293"/>
      <c r="F328" s="347">
        <f>F329</f>
        <v>159000</v>
      </c>
    </row>
    <row r="329" spans="1:6" ht="17.100000000000001" customHeight="1">
      <c r="A329" s="901"/>
      <c r="B329" s="1303"/>
      <c r="C329" s="1308"/>
      <c r="D329" s="472" t="s">
        <v>245</v>
      </c>
      <c r="E329" s="346" t="s">
        <v>246</v>
      </c>
      <c r="F329" s="347">
        <f>159000</f>
        <v>159000</v>
      </c>
    </row>
    <row r="330" spans="1:6" ht="17.100000000000001" customHeight="1">
      <c r="A330" s="901"/>
      <c r="B330" s="1278" t="s">
        <v>377</v>
      </c>
      <c r="C330" s="1279"/>
      <c r="D330" s="340"/>
      <c r="E330" s="341" t="s">
        <v>378</v>
      </c>
      <c r="F330" s="342">
        <f>F331+F366</f>
        <v>186312232</v>
      </c>
    </row>
    <row r="331" spans="1:6" ht="17.100000000000001" customHeight="1">
      <c r="A331" s="901"/>
      <c r="B331" s="883"/>
      <c r="C331" s="462"/>
      <c r="D331" s="1284" t="s">
        <v>213</v>
      </c>
      <c r="E331" s="1285"/>
      <c r="F331" s="343">
        <f>F332+F363</f>
        <v>50298779</v>
      </c>
    </row>
    <row r="332" spans="1:6" ht="17.100000000000001" customHeight="1">
      <c r="A332" s="901"/>
      <c r="B332" s="883"/>
      <c r="C332" s="462"/>
      <c r="D332" s="1286" t="s">
        <v>214</v>
      </c>
      <c r="E332" s="1294"/>
      <c r="F332" s="347">
        <f>F333+F340</f>
        <v>50115779</v>
      </c>
    </row>
    <row r="333" spans="1:6" ht="17.100000000000001" customHeight="1">
      <c r="A333" s="901"/>
      <c r="B333" s="883"/>
      <c r="C333" s="462"/>
      <c r="D333" s="1288" t="s">
        <v>215</v>
      </c>
      <c r="E333" s="1295"/>
      <c r="F333" s="347">
        <f>SUM(F334:F338)</f>
        <v>14554284</v>
      </c>
    </row>
    <row r="334" spans="1:6" ht="17.100000000000001" customHeight="1">
      <c r="A334" s="901"/>
      <c r="B334" s="1267"/>
      <c r="C334" s="1268"/>
      <c r="D334" s="472" t="s">
        <v>216</v>
      </c>
      <c r="E334" s="346" t="s">
        <v>217</v>
      </c>
      <c r="F334" s="347">
        <f>11160832</f>
        <v>11160832</v>
      </c>
    </row>
    <row r="335" spans="1:6" ht="17.100000000000001" customHeight="1">
      <c r="A335" s="901"/>
      <c r="B335" s="1267"/>
      <c r="C335" s="1268"/>
      <c r="D335" s="472" t="s">
        <v>218</v>
      </c>
      <c r="E335" s="346" t="s">
        <v>219</v>
      </c>
      <c r="F335" s="347">
        <f>773000</f>
        <v>773000</v>
      </c>
    </row>
    <row r="336" spans="1:6" ht="17.100000000000001" customHeight="1">
      <c r="A336" s="901"/>
      <c r="B336" s="1267"/>
      <c r="C336" s="1268"/>
      <c r="D336" s="472" t="s">
        <v>220</v>
      </c>
      <c r="E336" s="346" t="s">
        <v>221</v>
      </c>
      <c r="F336" s="347">
        <f>2169177</f>
        <v>2169177</v>
      </c>
    </row>
    <row r="337" spans="1:6" ht="17.100000000000001" customHeight="1">
      <c r="A337" s="901"/>
      <c r="B337" s="1267"/>
      <c r="C337" s="1268"/>
      <c r="D337" s="472" t="s">
        <v>222</v>
      </c>
      <c r="E337" s="346" t="s">
        <v>223</v>
      </c>
      <c r="F337" s="347">
        <f>301275</f>
        <v>301275</v>
      </c>
    </row>
    <row r="338" spans="1:6" ht="17.100000000000001" customHeight="1">
      <c r="A338" s="901"/>
      <c r="B338" s="1267"/>
      <c r="C338" s="1268"/>
      <c r="D338" s="472" t="s">
        <v>224</v>
      </c>
      <c r="E338" s="346" t="s">
        <v>225</v>
      </c>
      <c r="F338" s="347">
        <f>150000</f>
        <v>150000</v>
      </c>
    </row>
    <row r="339" spans="1:6" ht="17.100000000000001" customHeight="1">
      <c r="A339" s="901"/>
      <c r="B339" s="883"/>
      <c r="C339" s="462"/>
      <c r="D339" s="1267"/>
      <c r="E339" s="1269"/>
      <c r="F339" s="1270"/>
    </row>
    <row r="340" spans="1:6" ht="17.100000000000001" customHeight="1">
      <c r="A340" s="901"/>
      <c r="B340" s="883"/>
      <c r="C340" s="462"/>
      <c r="D340" s="1292" t="s">
        <v>226</v>
      </c>
      <c r="E340" s="1293"/>
      <c r="F340" s="347">
        <f>SUM(F341:F361)</f>
        <v>35561495</v>
      </c>
    </row>
    <row r="341" spans="1:6" ht="17.100000000000001" customHeight="1">
      <c r="A341" s="901"/>
      <c r="B341" s="883"/>
      <c r="C341" s="462"/>
      <c r="D341" s="472" t="s">
        <v>227</v>
      </c>
      <c r="E341" s="346" t="s">
        <v>228</v>
      </c>
      <c r="F341" s="347">
        <f>185000</f>
        <v>185000</v>
      </c>
    </row>
    <row r="342" spans="1:6" ht="17.100000000000001" customHeight="1">
      <c r="A342" s="901"/>
      <c r="B342" s="1267"/>
      <c r="C342" s="1268"/>
      <c r="D342" s="472" t="s">
        <v>229</v>
      </c>
      <c r="E342" s="346" t="s">
        <v>230</v>
      </c>
      <c r="F342" s="347">
        <f>7068000</f>
        <v>7068000</v>
      </c>
    </row>
    <row r="343" spans="1:6" ht="17.100000000000001" customHeight="1">
      <c r="A343" s="901"/>
      <c r="B343" s="1267"/>
      <c r="C343" s="1268"/>
      <c r="D343" s="472" t="s">
        <v>231</v>
      </c>
      <c r="E343" s="346" t="s">
        <v>232</v>
      </c>
      <c r="F343" s="347">
        <f>629000</f>
        <v>629000</v>
      </c>
    </row>
    <row r="344" spans="1:6" ht="17.100000000000001" customHeight="1">
      <c r="A344" s="901"/>
      <c r="B344" s="1267"/>
      <c r="C344" s="1268"/>
      <c r="D344" s="472" t="s">
        <v>233</v>
      </c>
      <c r="E344" s="346" t="s">
        <v>234</v>
      </c>
      <c r="F344" s="347">
        <f>12420995</f>
        <v>12420995</v>
      </c>
    </row>
    <row r="345" spans="1:6" ht="17.100000000000001" customHeight="1">
      <c r="A345" s="901"/>
      <c r="B345" s="1267"/>
      <c r="C345" s="1268"/>
      <c r="D345" s="472" t="s">
        <v>235</v>
      </c>
      <c r="E345" s="346" t="s">
        <v>236</v>
      </c>
      <c r="F345" s="347">
        <f>41000</f>
        <v>41000</v>
      </c>
    </row>
    <row r="346" spans="1:6" ht="17.100000000000001" customHeight="1">
      <c r="A346" s="901"/>
      <c r="B346" s="1267"/>
      <c r="C346" s="1268"/>
      <c r="D346" s="472" t="s">
        <v>237</v>
      </c>
      <c r="E346" s="346" t="s">
        <v>238</v>
      </c>
      <c r="F346" s="347">
        <f>13119500+20000</f>
        <v>13139500</v>
      </c>
    </row>
    <row r="347" spans="1:6" ht="17.100000000000001" customHeight="1">
      <c r="A347" s="901"/>
      <c r="B347" s="1267"/>
      <c r="C347" s="1268"/>
      <c r="D347" s="472" t="s">
        <v>239</v>
      </c>
      <c r="E347" s="346" t="s">
        <v>240</v>
      </c>
      <c r="F347" s="347">
        <f>25000</f>
        <v>25000</v>
      </c>
    </row>
    <row r="348" spans="1:6" ht="25.5" customHeight="1">
      <c r="A348" s="901"/>
      <c r="B348" s="1267"/>
      <c r="C348" s="1268"/>
      <c r="D348" s="472" t="s">
        <v>241</v>
      </c>
      <c r="E348" s="346" t="s">
        <v>242</v>
      </c>
      <c r="F348" s="347">
        <f>33000</f>
        <v>33000</v>
      </c>
    </row>
    <row r="349" spans="1:6" ht="24.75" customHeight="1">
      <c r="A349" s="901"/>
      <c r="B349" s="1267"/>
      <c r="C349" s="1268"/>
      <c r="D349" s="472" t="s">
        <v>243</v>
      </c>
      <c r="E349" s="346" t="s">
        <v>244</v>
      </c>
      <c r="F349" s="347">
        <f>55000</f>
        <v>55000</v>
      </c>
    </row>
    <row r="350" spans="1:6" ht="17.100000000000001" customHeight="1">
      <c r="A350" s="901"/>
      <c r="B350" s="1267"/>
      <c r="C350" s="1268"/>
      <c r="D350" s="472" t="s">
        <v>245</v>
      </c>
      <c r="E350" s="346" t="s">
        <v>246</v>
      </c>
      <c r="F350" s="347">
        <f>577000</f>
        <v>577000</v>
      </c>
    </row>
    <row r="351" spans="1:6" ht="17.100000000000001" customHeight="1">
      <c r="A351" s="901"/>
      <c r="B351" s="1267"/>
      <c r="C351" s="1268"/>
      <c r="D351" s="472" t="s">
        <v>249</v>
      </c>
      <c r="E351" s="346" t="s">
        <v>250</v>
      </c>
      <c r="F351" s="347">
        <f>20000</f>
        <v>20000</v>
      </c>
    </row>
    <row r="352" spans="1:6" ht="17.100000000000001" customHeight="1">
      <c r="A352" s="901"/>
      <c r="B352" s="1267"/>
      <c r="C352" s="1268"/>
      <c r="D352" s="472" t="s">
        <v>311</v>
      </c>
      <c r="E352" s="346" t="s">
        <v>312</v>
      </c>
      <c r="F352" s="347">
        <f>15000</f>
        <v>15000</v>
      </c>
    </row>
    <row r="353" spans="1:6" ht="17.100000000000001" customHeight="1">
      <c r="A353" s="901"/>
      <c r="B353" s="1267"/>
      <c r="C353" s="1268"/>
      <c r="D353" s="472" t="s">
        <v>251</v>
      </c>
      <c r="E353" s="346" t="s">
        <v>252</v>
      </c>
      <c r="F353" s="347">
        <f>710000</f>
        <v>710000</v>
      </c>
    </row>
    <row r="354" spans="1:6" ht="17.100000000000001" customHeight="1">
      <c r="A354" s="901"/>
      <c r="B354" s="1267"/>
      <c r="C354" s="1268"/>
      <c r="D354" s="472" t="s">
        <v>253</v>
      </c>
      <c r="E354" s="346" t="s">
        <v>254</v>
      </c>
      <c r="F354" s="347">
        <f>265000</f>
        <v>265000</v>
      </c>
    </row>
    <row r="355" spans="1:6" ht="17.100000000000001" customHeight="1">
      <c r="A355" s="901"/>
      <c r="B355" s="1267"/>
      <c r="C355" s="1268"/>
      <c r="D355" s="472" t="s">
        <v>255</v>
      </c>
      <c r="E355" s="346" t="s">
        <v>256</v>
      </c>
      <c r="F355" s="347">
        <f>122000</f>
        <v>122000</v>
      </c>
    </row>
    <row r="356" spans="1:6" ht="17.100000000000001" customHeight="1">
      <c r="A356" s="901"/>
      <c r="B356" s="1267"/>
      <c r="C356" s="1268"/>
      <c r="D356" s="472" t="s">
        <v>279</v>
      </c>
      <c r="E356" s="346" t="s">
        <v>280</v>
      </c>
      <c r="F356" s="347">
        <f>25000</f>
        <v>25000</v>
      </c>
    </row>
    <row r="357" spans="1:6" ht="17.100000000000001" customHeight="1">
      <c r="A357" s="901"/>
      <c r="B357" s="1267"/>
      <c r="C357" s="1268"/>
      <c r="D357" s="472" t="s">
        <v>257</v>
      </c>
      <c r="E357" s="346" t="s">
        <v>258</v>
      </c>
      <c r="F357" s="347">
        <f>5000</f>
        <v>5000</v>
      </c>
    </row>
    <row r="358" spans="1:6" ht="17.100000000000001" customHeight="1">
      <c r="A358" s="901"/>
      <c r="B358" s="1267"/>
      <c r="C358" s="1268"/>
      <c r="D358" s="472" t="s">
        <v>259</v>
      </c>
      <c r="E358" s="346" t="s">
        <v>260</v>
      </c>
      <c r="F358" s="347">
        <f>150000</f>
        <v>150000</v>
      </c>
    </row>
    <row r="359" spans="1:6" ht="17.100000000000001" customHeight="1">
      <c r="A359" s="901"/>
      <c r="B359" s="883"/>
      <c r="C359" s="462"/>
      <c r="D359" s="472" t="s">
        <v>333</v>
      </c>
      <c r="E359" s="346" t="s">
        <v>334</v>
      </c>
      <c r="F359" s="347">
        <f>23000</f>
        <v>23000</v>
      </c>
    </row>
    <row r="360" spans="1:6" ht="17.100000000000001" customHeight="1">
      <c r="A360" s="901"/>
      <c r="B360" s="883"/>
      <c r="C360" s="462"/>
      <c r="D360" s="472" t="s">
        <v>335</v>
      </c>
      <c r="E360" s="346" t="s">
        <v>336</v>
      </c>
      <c r="F360" s="347">
        <f>23000</f>
        <v>23000</v>
      </c>
    </row>
    <row r="361" spans="1:6" ht="17.100000000000001" customHeight="1">
      <c r="A361" s="901"/>
      <c r="B361" s="1267"/>
      <c r="C361" s="1268"/>
      <c r="D361" s="472" t="s">
        <v>261</v>
      </c>
      <c r="E361" s="346" t="s">
        <v>262</v>
      </c>
      <c r="F361" s="347">
        <f>30000</f>
        <v>30000</v>
      </c>
    </row>
    <row r="362" spans="1:6" ht="17.100000000000001" customHeight="1">
      <c r="A362" s="901"/>
      <c r="B362" s="883"/>
      <c r="C362" s="462"/>
      <c r="D362" s="1267"/>
      <c r="E362" s="1269"/>
      <c r="F362" s="1270"/>
    </row>
    <row r="363" spans="1:6" ht="17.100000000000001" customHeight="1">
      <c r="A363" s="901"/>
      <c r="B363" s="883"/>
      <c r="C363" s="462"/>
      <c r="D363" s="1290" t="s">
        <v>263</v>
      </c>
      <c r="E363" s="1291"/>
      <c r="F363" s="347">
        <f>F364</f>
        <v>183000</v>
      </c>
    </row>
    <row r="364" spans="1:6" ht="17.100000000000001" customHeight="1">
      <c r="A364" s="901"/>
      <c r="B364" s="883"/>
      <c r="C364" s="462"/>
      <c r="D364" s="472" t="s">
        <v>264</v>
      </c>
      <c r="E364" s="346" t="s">
        <v>265</v>
      </c>
      <c r="F364" s="347">
        <f>183000</f>
        <v>183000</v>
      </c>
    </row>
    <row r="365" spans="1:6" ht="17.100000000000001" customHeight="1">
      <c r="A365" s="901"/>
      <c r="B365" s="883"/>
      <c r="C365" s="462"/>
      <c r="D365" s="1267"/>
      <c r="E365" s="1269"/>
      <c r="F365" s="1270"/>
    </row>
    <row r="366" spans="1:6" ht="17.100000000000001" customHeight="1">
      <c r="A366" s="901"/>
      <c r="B366" s="883"/>
      <c r="C366" s="462"/>
      <c r="D366" s="1296" t="s">
        <v>281</v>
      </c>
      <c r="E366" s="1297"/>
      <c r="F366" s="343">
        <f>F367</f>
        <v>136013453</v>
      </c>
    </row>
    <row r="367" spans="1:6" ht="17.100000000000001" customHeight="1">
      <c r="A367" s="901"/>
      <c r="B367" s="883"/>
      <c r="C367" s="462"/>
      <c r="D367" s="1290" t="s">
        <v>905</v>
      </c>
      <c r="E367" s="1291"/>
      <c r="F367" s="347">
        <f>SUM(F368:F373)</f>
        <v>136013453</v>
      </c>
    </row>
    <row r="368" spans="1:6" ht="17.100000000000001" customHeight="1">
      <c r="A368" s="901"/>
      <c r="B368" s="1267"/>
      <c r="C368" s="1268"/>
      <c r="D368" s="472" t="s">
        <v>268</v>
      </c>
      <c r="E368" s="346" t="s">
        <v>269</v>
      </c>
      <c r="F368" s="347">
        <f>105077180</f>
        <v>105077180</v>
      </c>
    </row>
    <row r="369" spans="1:7" ht="17.100000000000001" customHeight="1">
      <c r="A369" s="901"/>
      <c r="B369" s="1267"/>
      <c r="C369" s="1268"/>
      <c r="D369" s="472" t="s">
        <v>282</v>
      </c>
      <c r="E369" s="346" t="s">
        <v>269</v>
      </c>
      <c r="F369" s="347">
        <f>20728319</f>
        <v>20728319</v>
      </c>
      <c r="G369" s="363"/>
    </row>
    <row r="370" spans="1:7" ht="17.100000000000001" customHeight="1">
      <c r="A370" s="901"/>
      <c r="B370" s="1267"/>
      <c r="C370" s="1268"/>
      <c r="D370" s="472" t="s">
        <v>283</v>
      </c>
      <c r="E370" s="346" t="s">
        <v>269</v>
      </c>
      <c r="F370" s="347">
        <f>5127954</f>
        <v>5127954</v>
      </c>
    </row>
    <row r="371" spans="1:7" ht="17.100000000000001" customHeight="1">
      <c r="A371" s="901"/>
      <c r="B371" s="1267"/>
      <c r="C371" s="1268"/>
      <c r="D371" s="472" t="s">
        <v>270</v>
      </c>
      <c r="E371" s="346" t="s">
        <v>271</v>
      </c>
      <c r="F371" s="347">
        <f>4180000</f>
        <v>4180000</v>
      </c>
      <c r="G371" s="375"/>
    </row>
    <row r="372" spans="1:7" ht="17.100000000000001" customHeight="1">
      <c r="A372" s="901"/>
      <c r="B372" s="1267"/>
      <c r="C372" s="1268"/>
      <c r="D372" s="472" t="s">
        <v>372</v>
      </c>
      <c r="E372" s="346" t="s">
        <v>271</v>
      </c>
      <c r="F372" s="347">
        <f>852660</f>
        <v>852660</v>
      </c>
    </row>
    <row r="373" spans="1:7" ht="17.100000000000001" customHeight="1">
      <c r="A373" s="901"/>
      <c r="B373" s="1267"/>
      <c r="C373" s="1268"/>
      <c r="D373" s="472" t="s">
        <v>320</v>
      </c>
      <c r="E373" s="346" t="s">
        <v>271</v>
      </c>
      <c r="F373" s="347">
        <f>47340</f>
        <v>47340</v>
      </c>
    </row>
    <row r="374" spans="1:7" ht="17.100000000000001" customHeight="1">
      <c r="A374" s="901"/>
      <c r="B374" s="883"/>
      <c r="C374" s="460"/>
      <c r="D374" s="1267"/>
      <c r="E374" s="1323"/>
      <c r="F374" s="1324"/>
    </row>
    <row r="375" spans="1:7" ht="17.100000000000001" customHeight="1">
      <c r="A375" s="901"/>
      <c r="B375" s="883"/>
      <c r="C375" s="460"/>
      <c r="D375" s="1292" t="s">
        <v>284</v>
      </c>
      <c r="E375" s="1307"/>
      <c r="F375" s="347">
        <f>F376+F377+F378+F379+F380</f>
        <v>52512052</v>
      </c>
    </row>
    <row r="376" spans="1:7" ht="17.100000000000001" customHeight="1">
      <c r="A376" s="901"/>
      <c r="B376" s="883"/>
      <c r="C376" s="460"/>
      <c r="D376" s="473" t="s">
        <v>268</v>
      </c>
      <c r="E376" s="361" t="s">
        <v>269</v>
      </c>
      <c r="F376" s="347">
        <f>25755779</f>
        <v>25755779</v>
      </c>
    </row>
    <row r="377" spans="1:7" ht="17.100000000000001" customHeight="1">
      <c r="A377" s="901"/>
      <c r="B377" s="883"/>
      <c r="C377" s="460"/>
      <c r="D377" s="473" t="s">
        <v>282</v>
      </c>
      <c r="E377" s="362" t="s">
        <v>269</v>
      </c>
      <c r="F377" s="347">
        <f>20728319</f>
        <v>20728319</v>
      </c>
    </row>
    <row r="378" spans="1:7" ht="17.100000000000001" customHeight="1">
      <c r="A378" s="901"/>
      <c r="B378" s="883"/>
      <c r="C378" s="460"/>
      <c r="D378" s="472" t="s">
        <v>283</v>
      </c>
      <c r="E378" s="346" t="s">
        <v>269</v>
      </c>
      <c r="F378" s="347">
        <f>5127954</f>
        <v>5127954</v>
      </c>
    </row>
    <row r="379" spans="1:7" ht="17.100000000000001" customHeight="1">
      <c r="A379" s="901"/>
      <c r="B379" s="883"/>
      <c r="C379" s="460"/>
      <c r="D379" s="472" t="s">
        <v>372</v>
      </c>
      <c r="E379" s="346" t="s">
        <v>271</v>
      </c>
      <c r="F379" s="347">
        <f>852660</f>
        <v>852660</v>
      </c>
    </row>
    <row r="380" spans="1:7" ht="17.100000000000001" customHeight="1">
      <c r="A380" s="901"/>
      <c r="B380" s="883"/>
      <c r="C380" s="460"/>
      <c r="D380" s="472" t="s">
        <v>320</v>
      </c>
      <c r="E380" s="346" t="s">
        <v>271</v>
      </c>
      <c r="F380" s="347">
        <f>47340</f>
        <v>47340</v>
      </c>
    </row>
    <row r="381" spans="1:7" ht="17.100000000000001" hidden="1" customHeight="1">
      <c r="A381" s="901"/>
      <c r="B381" s="883"/>
      <c r="C381" s="378" t="s">
        <v>379</v>
      </c>
      <c r="D381" s="464"/>
      <c r="E381" s="341" t="s">
        <v>380</v>
      </c>
      <c r="F381" s="342">
        <f>F382</f>
        <v>0</v>
      </c>
    </row>
    <row r="382" spans="1:7" ht="17.100000000000001" hidden="1" customHeight="1">
      <c r="A382" s="901"/>
      <c r="B382" s="883"/>
      <c r="C382" s="462"/>
      <c r="D382" s="1296" t="s">
        <v>281</v>
      </c>
      <c r="E382" s="1297"/>
      <c r="F382" s="347">
        <f>F383</f>
        <v>0</v>
      </c>
    </row>
    <row r="383" spans="1:7" ht="17.100000000000001" hidden="1" customHeight="1">
      <c r="A383" s="901"/>
      <c r="B383" s="883"/>
      <c r="C383" s="462"/>
      <c r="D383" s="1290" t="s">
        <v>267</v>
      </c>
      <c r="E383" s="1291"/>
      <c r="F383" s="347">
        <f>F384</f>
        <v>0</v>
      </c>
    </row>
    <row r="384" spans="1:7" ht="42" hidden="1" customHeight="1">
      <c r="A384" s="901"/>
      <c r="B384" s="883"/>
      <c r="C384" s="462"/>
      <c r="D384" s="353" t="s">
        <v>381</v>
      </c>
      <c r="E384" s="354" t="s">
        <v>382</v>
      </c>
      <c r="F384" s="355"/>
    </row>
    <row r="385" spans="1:6" ht="24" customHeight="1">
      <c r="A385" s="901"/>
      <c r="B385" s="883"/>
      <c r="C385" s="378" t="s">
        <v>383</v>
      </c>
      <c r="D385" s="379"/>
      <c r="E385" s="380" t="s">
        <v>384</v>
      </c>
      <c r="F385" s="381">
        <f>F386</f>
        <v>428997</v>
      </c>
    </row>
    <row r="386" spans="1:6" ht="21" customHeight="1">
      <c r="A386" s="901"/>
      <c r="B386" s="883"/>
      <c r="C386" s="1354"/>
      <c r="D386" s="1357" t="s">
        <v>281</v>
      </c>
      <c r="E386" s="1358"/>
      <c r="F386" s="355">
        <f>F387</f>
        <v>428997</v>
      </c>
    </row>
    <row r="387" spans="1:6" ht="18" customHeight="1">
      <c r="A387" s="901"/>
      <c r="B387" s="883"/>
      <c r="C387" s="1355"/>
      <c r="D387" s="1290" t="s">
        <v>905</v>
      </c>
      <c r="E387" s="1291"/>
      <c r="F387" s="355">
        <f>F388</f>
        <v>428997</v>
      </c>
    </row>
    <row r="388" spans="1:6" ht="45" customHeight="1">
      <c r="A388" s="901"/>
      <c r="B388" s="883"/>
      <c r="C388" s="1356"/>
      <c r="D388" s="351" t="s">
        <v>350</v>
      </c>
      <c r="E388" s="476" t="s">
        <v>349</v>
      </c>
      <c r="F388" s="355">
        <f>428997</f>
        <v>428997</v>
      </c>
    </row>
    <row r="389" spans="1:6" ht="18.75" customHeight="1">
      <c r="A389" s="901"/>
      <c r="B389" s="883"/>
      <c r="C389" s="382" t="s">
        <v>385</v>
      </c>
      <c r="D389" s="383"/>
      <c r="E389" s="384" t="s">
        <v>331</v>
      </c>
      <c r="F389" s="385">
        <f>F390</f>
        <v>3046256</v>
      </c>
    </row>
    <row r="390" spans="1:6" ht="15.75" customHeight="1">
      <c r="A390" s="901"/>
      <c r="B390" s="883"/>
      <c r="C390" s="465"/>
      <c r="D390" s="1359" t="s">
        <v>281</v>
      </c>
      <c r="E390" s="1360"/>
      <c r="F390" s="386">
        <f>F391</f>
        <v>3046256</v>
      </c>
    </row>
    <row r="391" spans="1:6" ht="15" customHeight="1">
      <c r="A391" s="901"/>
      <c r="B391" s="883"/>
      <c r="C391" s="465"/>
      <c r="D391" s="1290" t="s">
        <v>905</v>
      </c>
      <c r="E391" s="1291"/>
      <c r="F391" s="386">
        <f>F392</f>
        <v>3046256</v>
      </c>
    </row>
    <row r="392" spans="1:6" ht="21" customHeight="1">
      <c r="A392" s="901"/>
      <c r="B392" s="883"/>
      <c r="C392" s="465"/>
      <c r="D392" s="387" t="s">
        <v>268</v>
      </c>
      <c r="E392" s="388" t="s">
        <v>269</v>
      </c>
      <c r="F392" s="386">
        <f>3046256</f>
        <v>3046256</v>
      </c>
    </row>
    <row r="393" spans="1:6" ht="17.100000000000001" customHeight="1">
      <c r="A393" s="901"/>
      <c r="B393" s="1278" t="s">
        <v>386</v>
      </c>
      <c r="C393" s="1279"/>
      <c r="D393" s="340"/>
      <c r="E393" s="341" t="s">
        <v>332</v>
      </c>
      <c r="F393" s="342">
        <f>F394</f>
        <v>72000</v>
      </c>
    </row>
    <row r="394" spans="1:6" ht="17.100000000000001" customHeight="1">
      <c r="A394" s="901"/>
      <c r="B394" s="1280"/>
      <c r="C394" s="1281"/>
      <c r="D394" s="1284" t="s">
        <v>213</v>
      </c>
      <c r="E394" s="1285"/>
      <c r="F394" s="343">
        <f>F395</f>
        <v>72000</v>
      </c>
    </row>
    <row r="395" spans="1:6" ht="17.100000000000001" customHeight="1">
      <c r="A395" s="901"/>
      <c r="B395" s="1282"/>
      <c r="C395" s="1283"/>
      <c r="D395" s="1286" t="s">
        <v>214</v>
      </c>
      <c r="E395" s="1294"/>
      <c r="F395" s="347">
        <f>F396</f>
        <v>72000</v>
      </c>
    </row>
    <row r="396" spans="1:6" ht="17.100000000000001" customHeight="1">
      <c r="A396" s="901"/>
      <c r="B396" s="1282"/>
      <c r="C396" s="1283"/>
      <c r="D396" s="1292" t="s">
        <v>226</v>
      </c>
      <c r="E396" s="1293"/>
      <c r="F396" s="347">
        <f>F397</f>
        <v>72000</v>
      </c>
    </row>
    <row r="397" spans="1:6" ht="17.100000000000001" customHeight="1">
      <c r="A397" s="901"/>
      <c r="B397" s="1303"/>
      <c r="C397" s="1308"/>
      <c r="D397" s="472" t="s">
        <v>237</v>
      </c>
      <c r="E397" s="346" t="s">
        <v>238</v>
      </c>
      <c r="F397" s="347">
        <f>72000</f>
        <v>72000</v>
      </c>
    </row>
    <row r="398" spans="1:6" ht="17.100000000000001" customHeight="1">
      <c r="A398" s="900" t="s">
        <v>387</v>
      </c>
      <c r="B398" s="1276"/>
      <c r="C398" s="1277"/>
      <c r="D398" s="337"/>
      <c r="E398" s="338" t="s">
        <v>388</v>
      </c>
      <c r="F398" s="339">
        <f>F399+F404</f>
        <v>64811279</v>
      </c>
    </row>
    <row r="399" spans="1:6" ht="17.100000000000001" customHeight="1">
      <c r="A399" s="901"/>
      <c r="B399" s="1278" t="s">
        <v>389</v>
      </c>
      <c r="C399" s="1279"/>
      <c r="D399" s="340"/>
      <c r="E399" s="341" t="s">
        <v>390</v>
      </c>
      <c r="F399" s="342">
        <f>F400</f>
        <v>450000</v>
      </c>
    </row>
    <row r="400" spans="1:6" ht="17.100000000000001" customHeight="1">
      <c r="A400" s="901"/>
      <c r="B400" s="1352"/>
      <c r="C400" s="1353"/>
      <c r="D400" s="1284" t="s">
        <v>213</v>
      </c>
      <c r="E400" s="1285"/>
      <c r="F400" s="343">
        <f>F401</f>
        <v>450000</v>
      </c>
    </row>
    <row r="401" spans="1:6" ht="17.100000000000001" customHeight="1">
      <c r="A401" s="901"/>
      <c r="B401" s="883"/>
      <c r="C401" s="462"/>
      <c r="D401" s="1286" t="s">
        <v>214</v>
      </c>
      <c r="E401" s="1294"/>
      <c r="F401" s="347">
        <f>F402</f>
        <v>450000</v>
      </c>
    </row>
    <row r="402" spans="1:6" ht="17.100000000000001" customHeight="1">
      <c r="A402" s="901"/>
      <c r="B402" s="883"/>
      <c r="C402" s="462"/>
      <c r="D402" s="1292" t="s">
        <v>226</v>
      </c>
      <c r="E402" s="1293"/>
      <c r="F402" s="347">
        <f>F403</f>
        <v>450000</v>
      </c>
    </row>
    <row r="403" spans="1:6" ht="17.100000000000001" customHeight="1">
      <c r="A403" s="901"/>
      <c r="B403" s="883"/>
      <c r="C403" s="462"/>
      <c r="D403" s="472" t="s">
        <v>251</v>
      </c>
      <c r="E403" s="346" t="s">
        <v>252</v>
      </c>
      <c r="F403" s="347">
        <f>450000</f>
        <v>450000</v>
      </c>
    </row>
    <row r="404" spans="1:6" ht="17.100000000000001" customHeight="1">
      <c r="A404" s="901"/>
      <c r="B404" s="1278" t="s">
        <v>391</v>
      </c>
      <c r="C404" s="1279"/>
      <c r="D404" s="340"/>
      <c r="E404" s="341" t="s">
        <v>332</v>
      </c>
      <c r="F404" s="342">
        <f>F421+F405</f>
        <v>64361279</v>
      </c>
    </row>
    <row r="405" spans="1:6" ht="17.100000000000001" customHeight="1">
      <c r="A405" s="901"/>
      <c r="B405" s="1361"/>
      <c r="C405" s="1327"/>
      <c r="D405" s="1364" t="s">
        <v>213</v>
      </c>
      <c r="E405" s="1365"/>
      <c r="F405" s="389">
        <f>F406</f>
        <v>170000</v>
      </c>
    </row>
    <row r="406" spans="1:6" ht="16.5" hidden="1" customHeight="1">
      <c r="A406" s="901"/>
      <c r="B406" s="1328"/>
      <c r="C406" s="1329"/>
      <c r="D406" s="1366" t="s">
        <v>214</v>
      </c>
      <c r="E406" s="1367"/>
      <c r="F406" s="389">
        <f>F407</f>
        <v>170000</v>
      </c>
    </row>
    <row r="407" spans="1:6" ht="17.100000000000001" customHeight="1">
      <c r="A407" s="901"/>
      <c r="B407" s="1328"/>
      <c r="C407" s="1329"/>
      <c r="D407" s="1366" t="s">
        <v>907</v>
      </c>
      <c r="E407" s="1367"/>
      <c r="F407" s="389">
        <f>SUM(F408:F419)</f>
        <v>170000</v>
      </c>
    </row>
    <row r="408" spans="1:6" ht="17.100000000000001" customHeight="1">
      <c r="A408" s="901"/>
      <c r="B408" s="1328"/>
      <c r="C408" s="1329"/>
      <c r="D408" s="390" t="s">
        <v>362</v>
      </c>
      <c r="E408" s="391" t="s">
        <v>217</v>
      </c>
      <c r="F408" s="910">
        <f>31093</f>
        <v>31093</v>
      </c>
    </row>
    <row r="409" spans="1:6" ht="17.100000000000001" customHeight="1">
      <c r="A409" s="901"/>
      <c r="B409" s="1328"/>
      <c r="C409" s="1329"/>
      <c r="D409" s="390" t="s">
        <v>292</v>
      </c>
      <c r="E409" s="391" t="s">
        <v>217</v>
      </c>
      <c r="F409" s="393">
        <f>9027</f>
        <v>9027</v>
      </c>
    </row>
    <row r="410" spans="1:6" ht="17.100000000000001" customHeight="1">
      <c r="A410" s="901"/>
      <c r="B410" s="1328"/>
      <c r="C410" s="1329"/>
      <c r="D410" s="390" t="s">
        <v>363</v>
      </c>
      <c r="E410" s="391" t="s">
        <v>221</v>
      </c>
      <c r="F410" s="393">
        <f>5345</f>
        <v>5345</v>
      </c>
    </row>
    <row r="411" spans="1:6" ht="17.100000000000001" customHeight="1">
      <c r="A411" s="901"/>
      <c r="B411" s="1328"/>
      <c r="C411" s="1329"/>
      <c r="D411" s="390" t="s">
        <v>296</v>
      </c>
      <c r="E411" s="391" t="s">
        <v>221</v>
      </c>
      <c r="F411" s="393">
        <f>1552</f>
        <v>1552</v>
      </c>
    </row>
    <row r="412" spans="1:6" ht="17.100000000000001" customHeight="1">
      <c r="A412" s="901"/>
      <c r="B412" s="1328"/>
      <c r="C412" s="1329"/>
      <c r="D412" s="390" t="s">
        <v>364</v>
      </c>
      <c r="E412" s="391" t="s">
        <v>223</v>
      </c>
      <c r="F412" s="393">
        <f>762</f>
        <v>762</v>
      </c>
    </row>
    <row r="413" spans="1:6" ht="17.100000000000001" customHeight="1">
      <c r="A413" s="901"/>
      <c r="B413" s="1328"/>
      <c r="C413" s="1329"/>
      <c r="D413" s="390" t="s">
        <v>298</v>
      </c>
      <c r="E413" s="391" t="s">
        <v>223</v>
      </c>
      <c r="F413" s="393">
        <f>221</f>
        <v>221</v>
      </c>
    </row>
    <row r="414" spans="1:6" ht="17.100000000000001" customHeight="1">
      <c r="A414" s="922"/>
      <c r="B414" s="1362"/>
      <c r="C414" s="1329"/>
      <c r="D414" s="390" t="s">
        <v>366</v>
      </c>
      <c r="E414" s="391" t="s">
        <v>238</v>
      </c>
      <c r="F414" s="393">
        <f>102000</f>
        <v>102000</v>
      </c>
    </row>
    <row r="415" spans="1:6" ht="17.100000000000001" customHeight="1">
      <c r="A415" s="922"/>
      <c r="B415" s="1362"/>
      <c r="C415" s="1329"/>
      <c r="D415" s="390" t="s">
        <v>304</v>
      </c>
      <c r="E415" s="391" t="s">
        <v>238</v>
      </c>
      <c r="F415" s="393">
        <f>18000</f>
        <v>18000</v>
      </c>
    </row>
    <row r="416" spans="1:6" ht="17.100000000000001" customHeight="1">
      <c r="A416" s="901"/>
      <c r="B416" s="1328"/>
      <c r="C416" s="1329"/>
      <c r="D416" s="390" t="s">
        <v>392</v>
      </c>
      <c r="E416" s="391" t="s">
        <v>250</v>
      </c>
      <c r="F416" s="393">
        <f>775</f>
        <v>775</v>
      </c>
    </row>
    <row r="417" spans="1:7" ht="17.100000000000001" customHeight="1">
      <c r="A417" s="901"/>
      <c r="B417" s="1328"/>
      <c r="C417" s="1329"/>
      <c r="D417" s="390" t="s">
        <v>310</v>
      </c>
      <c r="E417" s="391" t="s">
        <v>250</v>
      </c>
      <c r="F417" s="393">
        <f>225</f>
        <v>225</v>
      </c>
    </row>
    <row r="418" spans="1:7" ht="17.100000000000001" customHeight="1">
      <c r="A418" s="901"/>
      <c r="B418" s="1328"/>
      <c r="C418" s="1329"/>
      <c r="D418" s="390" t="s">
        <v>393</v>
      </c>
      <c r="E418" s="391" t="s">
        <v>312</v>
      </c>
      <c r="F418" s="393">
        <f>775</f>
        <v>775</v>
      </c>
    </row>
    <row r="419" spans="1:7" ht="17.100000000000001" customHeight="1">
      <c r="A419" s="901"/>
      <c r="B419" s="1328"/>
      <c r="C419" s="1329"/>
      <c r="D419" s="390" t="s">
        <v>314</v>
      </c>
      <c r="E419" s="391" t="s">
        <v>312</v>
      </c>
      <c r="F419" s="393">
        <f>225</f>
        <v>225</v>
      </c>
    </row>
    <row r="420" spans="1:7" ht="17.100000000000001" customHeight="1">
      <c r="A420" s="901"/>
      <c r="B420" s="1328"/>
      <c r="C420" s="1329"/>
      <c r="D420" s="1368"/>
      <c r="E420" s="1369"/>
      <c r="F420" s="1324"/>
    </row>
    <row r="421" spans="1:7" ht="17.100000000000001" customHeight="1">
      <c r="A421" s="901"/>
      <c r="B421" s="1328"/>
      <c r="C421" s="1329"/>
      <c r="D421" s="1284" t="s">
        <v>266</v>
      </c>
      <c r="E421" s="1285"/>
      <c r="F421" s="343">
        <f>F422</f>
        <v>64191279</v>
      </c>
    </row>
    <row r="422" spans="1:7" ht="17.100000000000001" customHeight="1">
      <c r="A422" s="901"/>
      <c r="B422" s="1328"/>
      <c r="C422" s="1329"/>
      <c r="D422" s="1290" t="s">
        <v>905</v>
      </c>
      <c r="E422" s="1291"/>
      <c r="F422" s="347">
        <f>F424+F423+F425+F426+F427+F428</f>
        <v>64191279</v>
      </c>
    </row>
    <row r="423" spans="1:7" ht="17.100000000000001" customHeight="1">
      <c r="A423" s="901"/>
      <c r="B423" s="1328"/>
      <c r="C423" s="1329"/>
      <c r="D423" s="472" t="s">
        <v>268</v>
      </c>
      <c r="E423" s="346" t="s">
        <v>269</v>
      </c>
      <c r="F423" s="347">
        <f>323446</f>
        <v>323446</v>
      </c>
    </row>
    <row r="424" spans="1:7" ht="17.100000000000001" customHeight="1">
      <c r="A424" s="901"/>
      <c r="B424" s="1328"/>
      <c r="C424" s="1329"/>
      <c r="D424" s="472" t="s">
        <v>282</v>
      </c>
      <c r="E424" s="346" t="s">
        <v>269</v>
      </c>
      <c r="F424" s="347">
        <f>13739944</f>
        <v>13739944</v>
      </c>
      <c r="G424" s="363"/>
    </row>
    <row r="425" spans="1:7" ht="17.100000000000001" customHeight="1">
      <c r="A425" s="901"/>
      <c r="B425" s="1319"/>
      <c r="C425" s="1363"/>
      <c r="D425" s="472" t="s">
        <v>372</v>
      </c>
      <c r="E425" s="346" t="s">
        <v>271</v>
      </c>
      <c r="F425" s="347">
        <f>801385</f>
        <v>801385</v>
      </c>
      <c r="G425" s="363"/>
    </row>
    <row r="426" spans="1:7" ht="17.100000000000001" customHeight="1">
      <c r="A426" s="901"/>
      <c r="B426" s="1319"/>
      <c r="C426" s="1363"/>
      <c r="D426" s="472" t="s">
        <v>320</v>
      </c>
      <c r="E426" s="346" t="s">
        <v>271</v>
      </c>
      <c r="F426" s="347">
        <f>12300</f>
        <v>12300</v>
      </c>
      <c r="G426" s="363"/>
    </row>
    <row r="427" spans="1:7" ht="42.75" customHeight="1">
      <c r="A427" s="901"/>
      <c r="B427" s="1319"/>
      <c r="C427" s="1363"/>
      <c r="D427" s="472" t="s">
        <v>394</v>
      </c>
      <c r="E427" s="346" t="s">
        <v>349</v>
      </c>
      <c r="F427" s="347">
        <f>37474730</f>
        <v>37474730</v>
      </c>
      <c r="G427" s="363"/>
    </row>
    <row r="428" spans="1:7" ht="38.25" customHeight="1">
      <c r="A428" s="901"/>
      <c r="B428" s="1319"/>
      <c r="C428" s="1363"/>
      <c r="D428" s="472" t="s">
        <v>350</v>
      </c>
      <c r="E428" s="346" t="s">
        <v>349</v>
      </c>
      <c r="F428" s="347">
        <f>11839474</f>
        <v>11839474</v>
      </c>
      <c r="G428" s="363"/>
    </row>
    <row r="429" spans="1:7" ht="18" customHeight="1">
      <c r="A429" s="901"/>
      <c r="B429" s="1319"/>
      <c r="C429" s="1363"/>
      <c r="D429" s="1267"/>
      <c r="E429" s="1323"/>
      <c r="F429" s="1324"/>
      <c r="G429" s="363"/>
    </row>
    <row r="430" spans="1:7" ht="18" customHeight="1">
      <c r="A430" s="901"/>
      <c r="B430" s="1319"/>
      <c r="C430" s="1363"/>
      <c r="D430" s="1292" t="s">
        <v>284</v>
      </c>
      <c r="E430" s="1307"/>
      <c r="F430" s="347">
        <f>F431+F432+F433+F434+F435+F436</f>
        <v>64191279</v>
      </c>
      <c r="G430" s="363"/>
    </row>
    <row r="431" spans="1:7" ht="15.75" customHeight="1">
      <c r="A431" s="901"/>
      <c r="B431" s="1319"/>
      <c r="C431" s="1363"/>
      <c r="D431" s="472" t="s">
        <v>268</v>
      </c>
      <c r="E431" s="346" t="s">
        <v>269</v>
      </c>
      <c r="F431" s="347">
        <f>323446</f>
        <v>323446</v>
      </c>
      <c r="G431" s="363"/>
    </row>
    <row r="432" spans="1:7" ht="15.75" customHeight="1">
      <c r="A432" s="901"/>
      <c r="B432" s="1319"/>
      <c r="C432" s="1363"/>
      <c r="D432" s="472" t="s">
        <v>282</v>
      </c>
      <c r="E432" s="346" t="s">
        <v>269</v>
      </c>
      <c r="F432" s="347">
        <f>13739944</f>
        <v>13739944</v>
      </c>
      <c r="G432" s="363"/>
    </row>
    <row r="433" spans="1:7" ht="15.75" customHeight="1">
      <c r="A433" s="901"/>
      <c r="B433" s="1319"/>
      <c r="C433" s="1363"/>
      <c r="D433" s="472" t="s">
        <v>372</v>
      </c>
      <c r="E433" s="346" t="s">
        <v>271</v>
      </c>
      <c r="F433" s="347">
        <f>801385</f>
        <v>801385</v>
      </c>
      <c r="G433" s="363"/>
    </row>
    <row r="434" spans="1:7" ht="15.75" customHeight="1">
      <c r="A434" s="901"/>
      <c r="B434" s="1319"/>
      <c r="C434" s="1363"/>
      <c r="D434" s="472" t="s">
        <v>320</v>
      </c>
      <c r="E434" s="346" t="s">
        <v>271</v>
      </c>
      <c r="F434" s="347">
        <f>12300</f>
        <v>12300</v>
      </c>
      <c r="G434" s="363"/>
    </row>
    <row r="435" spans="1:7" ht="41.25" customHeight="1">
      <c r="A435" s="901"/>
      <c r="B435" s="1319"/>
      <c r="C435" s="1363"/>
      <c r="D435" s="472" t="s">
        <v>394</v>
      </c>
      <c r="E435" s="346" t="s">
        <v>349</v>
      </c>
      <c r="F435" s="347">
        <f>37474730</f>
        <v>37474730</v>
      </c>
      <c r="G435" s="363"/>
    </row>
    <row r="436" spans="1:7" ht="45" customHeight="1">
      <c r="A436" s="901"/>
      <c r="B436" s="1321"/>
      <c r="C436" s="1343"/>
      <c r="D436" s="472" t="s">
        <v>350</v>
      </c>
      <c r="E436" s="346" t="s">
        <v>349</v>
      </c>
      <c r="F436" s="347">
        <f>11839474</f>
        <v>11839474</v>
      </c>
      <c r="G436" s="363"/>
    </row>
    <row r="437" spans="1:7" ht="17.100000000000001" customHeight="1">
      <c r="A437" s="900" t="s">
        <v>395</v>
      </c>
      <c r="B437" s="1276"/>
      <c r="C437" s="1277"/>
      <c r="D437" s="337"/>
      <c r="E437" s="338" t="s">
        <v>396</v>
      </c>
      <c r="F437" s="339">
        <f>F438</f>
        <v>885000</v>
      </c>
      <c r="G437" s="375"/>
    </row>
    <row r="438" spans="1:7" ht="17.100000000000001" customHeight="1">
      <c r="A438" s="901"/>
      <c r="B438" s="1278" t="s">
        <v>397</v>
      </c>
      <c r="C438" s="1279"/>
      <c r="D438" s="340"/>
      <c r="E438" s="341" t="s">
        <v>398</v>
      </c>
      <c r="F438" s="342">
        <f>F439</f>
        <v>885000</v>
      </c>
    </row>
    <row r="439" spans="1:7" ht="17.100000000000001" customHeight="1">
      <c r="A439" s="901"/>
      <c r="B439" s="888"/>
      <c r="C439" s="468"/>
      <c r="D439" s="1284" t="s">
        <v>213</v>
      </c>
      <c r="E439" s="1285"/>
      <c r="F439" s="343">
        <f>F440</f>
        <v>885000</v>
      </c>
    </row>
    <row r="440" spans="1:7" ht="17.100000000000001" customHeight="1">
      <c r="A440" s="901"/>
      <c r="B440" s="888"/>
      <c r="C440" s="468"/>
      <c r="D440" s="1286" t="s">
        <v>214</v>
      </c>
      <c r="E440" s="1294"/>
      <c r="F440" s="347">
        <f>F441</f>
        <v>885000</v>
      </c>
    </row>
    <row r="441" spans="1:7" ht="17.100000000000001" customHeight="1">
      <c r="A441" s="901"/>
      <c r="B441" s="888"/>
      <c r="C441" s="468"/>
      <c r="D441" s="1292" t="s">
        <v>226</v>
      </c>
      <c r="E441" s="1293"/>
      <c r="F441" s="347">
        <f>SUM(F442:F451)</f>
        <v>885000</v>
      </c>
    </row>
    <row r="442" spans="1:7" ht="17.100000000000001" customHeight="1">
      <c r="A442" s="901"/>
      <c r="B442" s="1267"/>
      <c r="C442" s="1268"/>
      <c r="D442" s="472" t="s">
        <v>229</v>
      </c>
      <c r="E442" s="346" t="s">
        <v>230</v>
      </c>
      <c r="F442" s="347">
        <f>15000</f>
        <v>15000</v>
      </c>
    </row>
    <row r="443" spans="1:7" ht="17.100000000000001" customHeight="1">
      <c r="A443" s="901"/>
      <c r="B443" s="1267"/>
      <c r="C443" s="1268"/>
      <c r="D443" s="472" t="s">
        <v>231</v>
      </c>
      <c r="E443" s="346" t="s">
        <v>232</v>
      </c>
      <c r="F443" s="347">
        <f>10000</f>
        <v>10000</v>
      </c>
    </row>
    <row r="444" spans="1:7" ht="17.100000000000001" customHeight="1">
      <c r="A444" s="901"/>
      <c r="B444" s="1267"/>
      <c r="C444" s="1268"/>
      <c r="D444" s="472" t="s">
        <v>233</v>
      </c>
      <c r="E444" s="346" t="s">
        <v>234</v>
      </c>
      <c r="F444" s="347">
        <f>30000</f>
        <v>30000</v>
      </c>
    </row>
    <row r="445" spans="1:7" ht="17.100000000000001" customHeight="1">
      <c r="A445" s="901"/>
      <c r="B445" s="1267"/>
      <c r="C445" s="1268"/>
      <c r="D445" s="472" t="s">
        <v>237</v>
      </c>
      <c r="E445" s="346" t="s">
        <v>238</v>
      </c>
      <c r="F445" s="347">
        <f>370000</f>
        <v>370000</v>
      </c>
    </row>
    <row r="446" spans="1:7" ht="17.100000000000001" customHeight="1">
      <c r="A446" s="901"/>
      <c r="B446" s="1267"/>
      <c r="C446" s="1268"/>
      <c r="D446" s="472" t="s">
        <v>251</v>
      </c>
      <c r="E446" s="346" t="s">
        <v>252</v>
      </c>
      <c r="F446" s="347">
        <f>10000</f>
        <v>10000</v>
      </c>
    </row>
    <row r="447" spans="1:7" ht="17.100000000000001" customHeight="1">
      <c r="A447" s="901"/>
      <c r="B447" s="1267"/>
      <c r="C447" s="1268"/>
      <c r="D447" s="472" t="s">
        <v>255</v>
      </c>
      <c r="E447" s="346" t="s">
        <v>256</v>
      </c>
      <c r="F447" s="347">
        <f>100000</f>
        <v>100000</v>
      </c>
    </row>
    <row r="448" spans="1:7" ht="17.100000000000001" customHeight="1">
      <c r="A448" s="901"/>
      <c r="B448" s="1267"/>
      <c r="C448" s="1268"/>
      <c r="D448" s="472" t="s">
        <v>259</v>
      </c>
      <c r="E448" s="346" t="s">
        <v>260</v>
      </c>
      <c r="F448" s="347">
        <f>270000</f>
        <v>270000</v>
      </c>
    </row>
    <row r="449" spans="1:6" ht="17.100000000000001" customHeight="1">
      <c r="A449" s="901"/>
      <c r="B449" s="883"/>
      <c r="C449" s="462"/>
      <c r="D449" s="472" t="s">
        <v>333</v>
      </c>
      <c r="E449" s="346" t="s">
        <v>334</v>
      </c>
      <c r="F449" s="347">
        <f>25000</f>
        <v>25000</v>
      </c>
    </row>
    <row r="450" spans="1:6" ht="28.5" customHeight="1">
      <c r="A450" s="901"/>
      <c r="B450" s="883"/>
      <c r="C450" s="462"/>
      <c r="D450" s="472" t="s">
        <v>399</v>
      </c>
      <c r="E450" s="346" t="s">
        <v>400</v>
      </c>
      <c r="F450" s="347">
        <f>25000</f>
        <v>25000</v>
      </c>
    </row>
    <row r="451" spans="1:6" ht="17.100000000000001" customHeight="1">
      <c r="A451" s="901"/>
      <c r="B451" s="1267"/>
      <c r="C451" s="1268"/>
      <c r="D451" s="472" t="s">
        <v>335</v>
      </c>
      <c r="E451" s="346" t="s">
        <v>336</v>
      </c>
      <c r="F451" s="347">
        <f>30000</f>
        <v>30000</v>
      </c>
    </row>
    <row r="452" spans="1:6" ht="17.100000000000001" customHeight="1">
      <c r="A452" s="900" t="s">
        <v>401</v>
      </c>
      <c r="B452" s="1276"/>
      <c r="C452" s="1277"/>
      <c r="D452" s="337"/>
      <c r="E452" s="338" t="s">
        <v>402</v>
      </c>
      <c r="F452" s="339">
        <f>F453+F488+F493+F524+F529</f>
        <v>6504537</v>
      </c>
    </row>
    <row r="453" spans="1:6" ht="17.100000000000001" customHeight="1">
      <c r="A453" s="901"/>
      <c r="B453" s="1278" t="s">
        <v>403</v>
      </c>
      <c r="C453" s="1279"/>
      <c r="D453" s="340"/>
      <c r="E453" s="341" t="s">
        <v>404</v>
      </c>
      <c r="F453" s="342">
        <f>F454+F485</f>
        <v>4255410</v>
      </c>
    </row>
    <row r="454" spans="1:6" ht="17.100000000000001" customHeight="1">
      <c r="A454" s="901"/>
      <c r="B454" s="883"/>
      <c r="C454" s="462"/>
      <c r="D454" s="1284" t="s">
        <v>213</v>
      </c>
      <c r="E454" s="1285"/>
      <c r="F454" s="343">
        <f>F455+F482</f>
        <v>4240410</v>
      </c>
    </row>
    <row r="455" spans="1:6" ht="17.100000000000001" customHeight="1">
      <c r="A455" s="901"/>
      <c r="B455" s="883"/>
      <c r="C455" s="462"/>
      <c r="D455" s="1286" t="s">
        <v>214</v>
      </c>
      <c r="E455" s="1294"/>
      <c r="F455" s="347">
        <f>F456+F463</f>
        <v>4230410</v>
      </c>
    </row>
    <row r="456" spans="1:6" ht="17.100000000000001" customHeight="1">
      <c r="A456" s="901"/>
      <c r="B456" s="883"/>
      <c r="C456" s="462"/>
      <c r="D456" s="1288" t="s">
        <v>215</v>
      </c>
      <c r="E456" s="1295"/>
      <c r="F456" s="347">
        <f>SUM(F457:F461)</f>
        <v>3674010</v>
      </c>
    </row>
    <row r="457" spans="1:6" ht="17.100000000000001" customHeight="1">
      <c r="A457" s="901"/>
      <c r="B457" s="1267"/>
      <c r="C457" s="1268"/>
      <c r="D457" s="472" t="s">
        <v>216</v>
      </c>
      <c r="E457" s="346" t="s">
        <v>217</v>
      </c>
      <c r="F457" s="347">
        <f>2877530</f>
        <v>2877530</v>
      </c>
    </row>
    <row r="458" spans="1:6" ht="17.100000000000001" customHeight="1">
      <c r="A458" s="901"/>
      <c r="B458" s="1267"/>
      <c r="C458" s="1268"/>
      <c r="D458" s="472" t="s">
        <v>218</v>
      </c>
      <c r="E458" s="346" t="s">
        <v>219</v>
      </c>
      <c r="F458" s="347">
        <f>222080</f>
        <v>222080</v>
      </c>
    </row>
    <row r="459" spans="1:6" ht="17.100000000000001" customHeight="1">
      <c r="A459" s="901"/>
      <c r="B459" s="1267"/>
      <c r="C459" s="1268"/>
      <c r="D459" s="472" t="s">
        <v>220</v>
      </c>
      <c r="E459" s="346" t="s">
        <v>221</v>
      </c>
      <c r="F459" s="347">
        <f>511000</f>
        <v>511000</v>
      </c>
    </row>
    <row r="460" spans="1:6" ht="17.100000000000001" customHeight="1">
      <c r="A460" s="901"/>
      <c r="B460" s="1267"/>
      <c r="C460" s="1268"/>
      <c r="D460" s="472" t="s">
        <v>222</v>
      </c>
      <c r="E460" s="346" t="s">
        <v>223</v>
      </c>
      <c r="F460" s="347">
        <f>48400</f>
        <v>48400</v>
      </c>
    </row>
    <row r="461" spans="1:6" ht="17.100000000000001" customHeight="1">
      <c r="A461" s="901"/>
      <c r="B461" s="1267"/>
      <c r="C461" s="1268"/>
      <c r="D461" s="472" t="s">
        <v>224</v>
      </c>
      <c r="E461" s="346" t="s">
        <v>225</v>
      </c>
      <c r="F461" s="347">
        <f>15000</f>
        <v>15000</v>
      </c>
    </row>
    <row r="462" spans="1:6" ht="17.100000000000001" customHeight="1">
      <c r="A462" s="901"/>
      <c r="B462" s="883"/>
      <c r="C462" s="462"/>
      <c r="D462" s="1267"/>
      <c r="E462" s="1269"/>
      <c r="F462" s="1270"/>
    </row>
    <row r="463" spans="1:6" ht="17.100000000000001" customHeight="1">
      <c r="A463" s="901"/>
      <c r="B463" s="883"/>
      <c r="C463" s="462"/>
      <c r="D463" s="1292" t="s">
        <v>226</v>
      </c>
      <c r="E463" s="1293"/>
      <c r="F463" s="347">
        <f>SUM(F464:F480)</f>
        <v>556400</v>
      </c>
    </row>
    <row r="464" spans="1:6" ht="17.100000000000001" customHeight="1">
      <c r="A464" s="901"/>
      <c r="B464" s="1267"/>
      <c r="C464" s="1268"/>
      <c r="D464" s="472" t="s">
        <v>229</v>
      </c>
      <c r="E464" s="346" t="s">
        <v>230</v>
      </c>
      <c r="F464" s="347">
        <f>93600</f>
        <v>93600</v>
      </c>
    </row>
    <row r="465" spans="1:6" ht="17.100000000000001" customHeight="1">
      <c r="A465" s="901"/>
      <c r="B465" s="1267"/>
      <c r="C465" s="1268"/>
      <c r="D465" s="472" t="s">
        <v>405</v>
      </c>
      <c r="E465" s="346" t="s">
        <v>406</v>
      </c>
      <c r="F465" s="347">
        <f>2000</f>
        <v>2000</v>
      </c>
    </row>
    <row r="466" spans="1:6" ht="17.100000000000001" customHeight="1">
      <c r="A466" s="901"/>
      <c r="B466" s="1267"/>
      <c r="C466" s="1268"/>
      <c r="D466" s="472" t="s">
        <v>231</v>
      </c>
      <c r="E466" s="346" t="s">
        <v>232</v>
      </c>
      <c r="F466" s="347">
        <f>100000</f>
        <v>100000</v>
      </c>
    </row>
    <row r="467" spans="1:6" ht="17.100000000000001" customHeight="1">
      <c r="A467" s="901"/>
      <c r="B467" s="1267"/>
      <c r="C467" s="1268"/>
      <c r="D467" s="472" t="s">
        <v>233</v>
      </c>
      <c r="E467" s="346" t="s">
        <v>234</v>
      </c>
      <c r="F467" s="347">
        <f>15000</f>
        <v>15000</v>
      </c>
    </row>
    <row r="468" spans="1:6" ht="17.100000000000001" customHeight="1">
      <c r="A468" s="901"/>
      <c r="B468" s="1267"/>
      <c r="C468" s="1268"/>
      <c r="D468" s="472" t="s">
        <v>235</v>
      </c>
      <c r="E468" s="346" t="s">
        <v>236</v>
      </c>
      <c r="F468" s="347">
        <f>3000</f>
        <v>3000</v>
      </c>
    </row>
    <row r="469" spans="1:6" ht="17.100000000000001" customHeight="1">
      <c r="A469" s="901"/>
      <c r="B469" s="1267"/>
      <c r="C469" s="1268"/>
      <c r="D469" s="472" t="s">
        <v>237</v>
      </c>
      <c r="E469" s="346" t="s">
        <v>238</v>
      </c>
      <c r="F469" s="347">
        <f>110000</f>
        <v>110000</v>
      </c>
    </row>
    <row r="470" spans="1:6" ht="17.100000000000001" customHeight="1">
      <c r="A470" s="901"/>
      <c r="B470" s="1267"/>
      <c r="C470" s="1268"/>
      <c r="D470" s="472" t="s">
        <v>239</v>
      </c>
      <c r="E470" s="346" t="s">
        <v>240</v>
      </c>
      <c r="F470" s="347">
        <f>6500</f>
        <v>6500</v>
      </c>
    </row>
    <row r="471" spans="1:6" ht="27" customHeight="1">
      <c r="A471" s="901"/>
      <c r="B471" s="1267"/>
      <c r="C471" s="1268"/>
      <c r="D471" s="472" t="s">
        <v>241</v>
      </c>
      <c r="E471" s="346" t="s">
        <v>242</v>
      </c>
      <c r="F471" s="347">
        <f>2000</f>
        <v>2000</v>
      </c>
    </row>
    <row r="472" spans="1:6" ht="25.5" customHeight="1">
      <c r="A472" s="901"/>
      <c r="B472" s="1267"/>
      <c r="C472" s="1268"/>
      <c r="D472" s="472" t="s">
        <v>243</v>
      </c>
      <c r="E472" s="346" t="s">
        <v>244</v>
      </c>
      <c r="F472" s="347">
        <f>12500</f>
        <v>12500</v>
      </c>
    </row>
    <row r="473" spans="1:6" ht="23.25" customHeight="1">
      <c r="A473" s="901"/>
      <c r="B473" s="1267"/>
      <c r="C473" s="1268"/>
      <c r="D473" s="472" t="s">
        <v>247</v>
      </c>
      <c r="E473" s="346" t="s">
        <v>248</v>
      </c>
      <c r="F473" s="347">
        <f>95000</f>
        <v>95000</v>
      </c>
    </row>
    <row r="474" spans="1:6" ht="17.100000000000001" customHeight="1">
      <c r="A474" s="901"/>
      <c r="B474" s="1267"/>
      <c r="C474" s="1268"/>
      <c r="D474" s="472" t="s">
        <v>249</v>
      </c>
      <c r="E474" s="346" t="s">
        <v>250</v>
      </c>
      <c r="F474" s="347">
        <f>7000</f>
        <v>7000</v>
      </c>
    </row>
    <row r="475" spans="1:6" ht="17.100000000000001" hidden="1" customHeight="1">
      <c r="A475" s="901"/>
      <c r="B475" s="1267"/>
      <c r="C475" s="1268"/>
      <c r="D475" s="472" t="s">
        <v>311</v>
      </c>
      <c r="E475" s="346" t="s">
        <v>312</v>
      </c>
      <c r="F475" s="347"/>
    </row>
    <row r="476" spans="1:6" ht="17.100000000000001" customHeight="1">
      <c r="A476" s="901"/>
      <c r="B476" s="1267"/>
      <c r="C476" s="1268"/>
      <c r="D476" s="472" t="s">
        <v>251</v>
      </c>
      <c r="E476" s="346" t="s">
        <v>252</v>
      </c>
      <c r="F476" s="347">
        <f>6500</f>
        <v>6500</v>
      </c>
    </row>
    <row r="477" spans="1:6" ht="17.100000000000001" customHeight="1">
      <c r="A477" s="901"/>
      <c r="B477" s="1267"/>
      <c r="C477" s="1268"/>
      <c r="D477" s="472" t="s">
        <v>253</v>
      </c>
      <c r="E477" s="346" t="s">
        <v>254</v>
      </c>
      <c r="F477" s="347">
        <f>79760</f>
        <v>79760</v>
      </c>
    </row>
    <row r="478" spans="1:6" ht="17.100000000000001" customHeight="1">
      <c r="A478" s="901"/>
      <c r="B478" s="1267"/>
      <c r="C478" s="1268"/>
      <c r="D478" s="472" t="s">
        <v>255</v>
      </c>
      <c r="E478" s="346" t="s">
        <v>256</v>
      </c>
      <c r="F478" s="347">
        <f>7500</f>
        <v>7500</v>
      </c>
    </row>
    <row r="479" spans="1:6" ht="17.100000000000001" customHeight="1">
      <c r="A479" s="901"/>
      <c r="B479" s="1267"/>
      <c r="C479" s="1268"/>
      <c r="D479" s="472" t="s">
        <v>259</v>
      </c>
      <c r="E479" s="346" t="s">
        <v>260</v>
      </c>
      <c r="F479" s="347">
        <f>11040</f>
        <v>11040</v>
      </c>
    </row>
    <row r="480" spans="1:6" ht="17.100000000000001" customHeight="1">
      <c r="A480" s="901"/>
      <c r="B480" s="1267"/>
      <c r="C480" s="1268"/>
      <c r="D480" s="472" t="s">
        <v>261</v>
      </c>
      <c r="E480" s="346" t="s">
        <v>262</v>
      </c>
      <c r="F480" s="347">
        <f>5000</f>
        <v>5000</v>
      </c>
    </row>
    <row r="481" spans="1:6" ht="17.100000000000001" customHeight="1">
      <c r="A481" s="901"/>
      <c r="B481" s="883"/>
      <c r="C481" s="462"/>
      <c r="D481" s="1267"/>
      <c r="E481" s="1269"/>
      <c r="F481" s="1270"/>
    </row>
    <row r="482" spans="1:6" ht="17.100000000000001" customHeight="1">
      <c r="A482" s="901"/>
      <c r="B482" s="883"/>
      <c r="C482" s="462"/>
      <c r="D482" s="1290" t="s">
        <v>263</v>
      </c>
      <c r="E482" s="1291"/>
      <c r="F482" s="347">
        <f>F483</f>
        <v>10000</v>
      </c>
    </row>
    <row r="483" spans="1:6" ht="17.100000000000001" customHeight="1">
      <c r="A483" s="901"/>
      <c r="B483" s="883"/>
      <c r="C483" s="462"/>
      <c r="D483" s="472" t="s">
        <v>264</v>
      </c>
      <c r="E483" s="346" t="s">
        <v>265</v>
      </c>
      <c r="F483" s="347">
        <f>10000</f>
        <v>10000</v>
      </c>
    </row>
    <row r="484" spans="1:6" ht="17.100000000000001" customHeight="1">
      <c r="A484" s="901"/>
      <c r="B484" s="883"/>
      <c r="C484" s="462"/>
      <c r="D484" s="1267"/>
      <c r="E484" s="1269"/>
      <c r="F484" s="1270"/>
    </row>
    <row r="485" spans="1:6" ht="17.100000000000001" customHeight="1">
      <c r="A485" s="901"/>
      <c r="B485" s="883"/>
      <c r="C485" s="462"/>
      <c r="D485" s="1296" t="s">
        <v>281</v>
      </c>
      <c r="E485" s="1297"/>
      <c r="F485" s="343">
        <f>F486</f>
        <v>15000</v>
      </c>
    </row>
    <row r="486" spans="1:6" ht="17.100000000000001" customHeight="1">
      <c r="A486" s="901"/>
      <c r="B486" s="883"/>
      <c r="C486" s="462"/>
      <c r="D486" s="1290" t="s">
        <v>904</v>
      </c>
      <c r="E486" s="1291"/>
      <c r="F486" s="347">
        <f>F487</f>
        <v>15000</v>
      </c>
    </row>
    <row r="487" spans="1:6" ht="17.100000000000001" customHeight="1">
      <c r="A487" s="901"/>
      <c r="B487" s="1299"/>
      <c r="C487" s="1300"/>
      <c r="D487" s="472" t="s">
        <v>270</v>
      </c>
      <c r="E487" s="346" t="s">
        <v>271</v>
      </c>
      <c r="F487" s="347">
        <f>15000</f>
        <v>15000</v>
      </c>
    </row>
    <row r="488" spans="1:6" ht="17.100000000000001" customHeight="1">
      <c r="A488" s="901"/>
      <c r="B488" s="1278" t="s">
        <v>407</v>
      </c>
      <c r="C488" s="1279"/>
      <c r="D488" s="340"/>
      <c r="E488" s="341" t="s">
        <v>408</v>
      </c>
      <c r="F488" s="342">
        <f>F489</f>
        <v>5000</v>
      </c>
    </row>
    <row r="489" spans="1:6" ht="17.100000000000001" customHeight="1">
      <c r="A489" s="901"/>
      <c r="B489" s="1280"/>
      <c r="C489" s="1281"/>
      <c r="D489" s="1284" t="s">
        <v>213</v>
      </c>
      <c r="E489" s="1285"/>
      <c r="F489" s="343">
        <f>F490</f>
        <v>5000</v>
      </c>
    </row>
    <row r="490" spans="1:6" ht="17.100000000000001" customHeight="1">
      <c r="A490" s="901"/>
      <c r="B490" s="1282"/>
      <c r="C490" s="1283"/>
      <c r="D490" s="1286" t="s">
        <v>214</v>
      </c>
      <c r="E490" s="1294"/>
      <c r="F490" s="347">
        <f>F491</f>
        <v>5000</v>
      </c>
    </row>
    <row r="491" spans="1:6" ht="17.100000000000001" customHeight="1">
      <c r="A491" s="901"/>
      <c r="B491" s="1282"/>
      <c r="C491" s="1283"/>
      <c r="D491" s="1292" t="s">
        <v>226</v>
      </c>
      <c r="E491" s="1293"/>
      <c r="F491" s="347">
        <f>F492</f>
        <v>5000</v>
      </c>
    </row>
    <row r="492" spans="1:6" ht="17.100000000000001" customHeight="1">
      <c r="A492" s="901"/>
      <c r="B492" s="1303"/>
      <c r="C492" s="1308"/>
      <c r="D492" s="472" t="s">
        <v>245</v>
      </c>
      <c r="E492" s="346" t="s">
        <v>246</v>
      </c>
      <c r="F492" s="347">
        <f>5000</f>
        <v>5000</v>
      </c>
    </row>
    <row r="493" spans="1:6" ht="17.100000000000001" customHeight="1">
      <c r="A493" s="901"/>
      <c r="B493" s="1278" t="s">
        <v>409</v>
      </c>
      <c r="C493" s="1279"/>
      <c r="D493" s="340"/>
      <c r="E493" s="341" t="s">
        <v>410</v>
      </c>
      <c r="F493" s="342">
        <f>F494+F521</f>
        <v>949000</v>
      </c>
    </row>
    <row r="494" spans="1:6" ht="17.100000000000001" customHeight="1">
      <c r="A494" s="901"/>
      <c r="B494" s="883"/>
      <c r="C494" s="462"/>
      <c r="D494" s="1284" t="s">
        <v>213</v>
      </c>
      <c r="E494" s="1285"/>
      <c r="F494" s="343">
        <f>F495+F518</f>
        <v>849000</v>
      </c>
    </row>
    <row r="495" spans="1:6" ht="17.100000000000001" customHeight="1">
      <c r="A495" s="901"/>
      <c r="B495" s="883"/>
      <c r="C495" s="462"/>
      <c r="D495" s="1286" t="s">
        <v>214</v>
      </c>
      <c r="E495" s="1294"/>
      <c r="F495" s="347">
        <f>F496+F503</f>
        <v>848100</v>
      </c>
    </row>
    <row r="496" spans="1:6" ht="17.100000000000001" customHeight="1">
      <c r="A496" s="901"/>
      <c r="B496" s="883"/>
      <c r="C496" s="462"/>
      <c r="D496" s="1288" t="s">
        <v>215</v>
      </c>
      <c r="E496" s="1295"/>
      <c r="F496" s="347">
        <f>SUM(F497:F501)</f>
        <v>572400</v>
      </c>
    </row>
    <row r="497" spans="1:6" ht="17.100000000000001" customHeight="1">
      <c r="A497" s="901"/>
      <c r="B497" s="1267"/>
      <c r="C497" s="1268"/>
      <c r="D497" s="472" t="s">
        <v>216</v>
      </c>
      <c r="E497" s="346" t="s">
        <v>217</v>
      </c>
      <c r="F497" s="347">
        <f>443000</f>
        <v>443000</v>
      </c>
    </row>
    <row r="498" spans="1:6" ht="17.100000000000001" customHeight="1">
      <c r="A498" s="901"/>
      <c r="B498" s="1267"/>
      <c r="C498" s="1268"/>
      <c r="D498" s="472" t="s">
        <v>218</v>
      </c>
      <c r="E498" s="346" t="s">
        <v>219</v>
      </c>
      <c r="F498" s="347">
        <f>27800</f>
        <v>27800</v>
      </c>
    </row>
    <row r="499" spans="1:6" ht="17.100000000000001" customHeight="1">
      <c r="A499" s="901"/>
      <c r="B499" s="1267"/>
      <c r="C499" s="1268"/>
      <c r="D499" s="472" t="s">
        <v>220</v>
      </c>
      <c r="E499" s="346" t="s">
        <v>221</v>
      </c>
      <c r="F499" s="347">
        <f>79700</f>
        <v>79700</v>
      </c>
    </row>
    <row r="500" spans="1:6" ht="17.100000000000001" customHeight="1">
      <c r="A500" s="901"/>
      <c r="B500" s="1267"/>
      <c r="C500" s="1268"/>
      <c r="D500" s="472" t="s">
        <v>222</v>
      </c>
      <c r="E500" s="346" t="s">
        <v>223</v>
      </c>
      <c r="F500" s="347">
        <f>8900</f>
        <v>8900</v>
      </c>
    </row>
    <row r="501" spans="1:6" ht="17.100000000000001" customHeight="1">
      <c r="A501" s="901"/>
      <c r="B501" s="1267"/>
      <c r="C501" s="1268"/>
      <c r="D501" s="472" t="s">
        <v>224</v>
      </c>
      <c r="E501" s="346" t="s">
        <v>225</v>
      </c>
      <c r="F501" s="347">
        <f>13000</f>
        <v>13000</v>
      </c>
    </row>
    <row r="502" spans="1:6" ht="17.100000000000001" customHeight="1">
      <c r="A502" s="901"/>
      <c r="B502" s="883"/>
      <c r="C502" s="462"/>
      <c r="D502" s="1267"/>
      <c r="E502" s="1269"/>
      <c r="F502" s="1270"/>
    </row>
    <row r="503" spans="1:6" ht="17.100000000000001" customHeight="1">
      <c r="A503" s="901"/>
      <c r="B503" s="883"/>
      <c r="C503" s="462"/>
      <c r="D503" s="1292" t="s">
        <v>226</v>
      </c>
      <c r="E503" s="1293"/>
      <c r="F503" s="347">
        <f>SUM(F504:F516)</f>
        <v>275700</v>
      </c>
    </row>
    <row r="504" spans="1:6" ht="17.100000000000001" customHeight="1">
      <c r="A504" s="901"/>
      <c r="B504" s="1267"/>
      <c r="C504" s="1268"/>
      <c r="D504" s="472" t="s">
        <v>229</v>
      </c>
      <c r="E504" s="346" t="s">
        <v>230</v>
      </c>
      <c r="F504" s="347">
        <f>35600</f>
        <v>35600</v>
      </c>
    </row>
    <row r="505" spans="1:6" ht="17.100000000000001" customHeight="1">
      <c r="A505" s="901"/>
      <c r="B505" s="1267"/>
      <c r="C505" s="1268"/>
      <c r="D505" s="472" t="s">
        <v>231</v>
      </c>
      <c r="E505" s="346" t="s">
        <v>232</v>
      </c>
      <c r="F505" s="347">
        <f>21000</f>
        <v>21000</v>
      </c>
    </row>
    <row r="506" spans="1:6" ht="17.100000000000001" customHeight="1">
      <c r="A506" s="901"/>
      <c r="B506" s="1267"/>
      <c r="C506" s="1268"/>
      <c r="D506" s="472" t="s">
        <v>233</v>
      </c>
      <c r="E506" s="346" t="s">
        <v>234</v>
      </c>
      <c r="F506" s="347">
        <f>9600</f>
        <v>9600</v>
      </c>
    </row>
    <row r="507" spans="1:6" ht="17.100000000000001" customHeight="1">
      <c r="A507" s="901"/>
      <c r="B507" s="1267"/>
      <c r="C507" s="1268"/>
      <c r="D507" s="472" t="s">
        <v>235</v>
      </c>
      <c r="E507" s="346" t="s">
        <v>236</v>
      </c>
      <c r="F507" s="347">
        <f>500</f>
        <v>500</v>
      </c>
    </row>
    <row r="508" spans="1:6" ht="17.100000000000001" customHeight="1">
      <c r="A508" s="901"/>
      <c r="B508" s="1267"/>
      <c r="C508" s="1268"/>
      <c r="D508" s="472" t="s">
        <v>237</v>
      </c>
      <c r="E508" s="346" t="s">
        <v>238</v>
      </c>
      <c r="F508" s="347">
        <f>147500</f>
        <v>147500</v>
      </c>
    </row>
    <row r="509" spans="1:6" ht="17.100000000000001" customHeight="1">
      <c r="A509" s="901"/>
      <c r="B509" s="1267"/>
      <c r="C509" s="1268"/>
      <c r="D509" s="472" t="s">
        <v>239</v>
      </c>
      <c r="E509" s="346" t="s">
        <v>240</v>
      </c>
      <c r="F509" s="347">
        <f>2800</f>
        <v>2800</v>
      </c>
    </row>
    <row r="510" spans="1:6" ht="25.5" customHeight="1">
      <c r="A510" s="901"/>
      <c r="B510" s="1267"/>
      <c r="C510" s="1268"/>
      <c r="D510" s="472" t="s">
        <v>243</v>
      </c>
      <c r="E510" s="346" t="s">
        <v>244</v>
      </c>
      <c r="F510" s="347">
        <f>1600</f>
        <v>1600</v>
      </c>
    </row>
    <row r="511" spans="1:6" ht="19.5" customHeight="1">
      <c r="A511" s="901"/>
      <c r="B511" s="1267"/>
      <c r="C511" s="1268"/>
      <c r="D511" s="472" t="s">
        <v>247</v>
      </c>
      <c r="E511" s="346" t="s">
        <v>248</v>
      </c>
      <c r="F511" s="347">
        <f>32300</f>
        <v>32300</v>
      </c>
    </row>
    <row r="512" spans="1:6" ht="17.100000000000001" customHeight="1">
      <c r="A512" s="901"/>
      <c r="B512" s="1267"/>
      <c r="C512" s="1268"/>
      <c r="D512" s="472" t="s">
        <v>249</v>
      </c>
      <c r="E512" s="346" t="s">
        <v>250</v>
      </c>
      <c r="F512" s="347">
        <f>6000</f>
        <v>6000</v>
      </c>
    </row>
    <row r="513" spans="1:6" ht="17.100000000000001" customHeight="1">
      <c r="A513" s="901"/>
      <c r="B513" s="883"/>
      <c r="C513" s="462"/>
      <c r="D513" s="472" t="s">
        <v>251</v>
      </c>
      <c r="E513" s="346" t="s">
        <v>252</v>
      </c>
      <c r="F513" s="347">
        <f>2300</f>
        <v>2300</v>
      </c>
    </row>
    <row r="514" spans="1:6" ht="17.100000000000001" customHeight="1">
      <c r="A514" s="901"/>
      <c r="B514" s="1267"/>
      <c r="C514" s="1268"/>
      <c r="D514" s="472" t="s">
        <v>253</v>
      </c>
      <c r="E514" s="346" t="s">
        <v>254</v>
      </c>
      <c r="F514" s="347">
        <f>7500</f>
        <v>7500</v>
      </c>
    </row>
    <row r="515" spans="1:6" ht="17.100000000000001" hidden="1" customHeight="1">
      <c r="A515" s="901"/>
      <c r="B515" s="1267"/>
      <c r="C515" s="1268"/>
      <c r="D515" s="472" t="s">
        <v>411</v>
      </c>
      <c r="E515" s="346" t="s">
        <v>412</v>
      </c>
      <c r="F515" s="347"/>
    </row>
    <row r="516" spans="1:6" ht="17.100000000000001" customHeight="1">
      <c r="A516" s="901"/>
      <c r="B516" s="1267"/>
      <c r="C516" s="1268"/>
      <c r="D516" s="472" t="s">
        <v>261</v>
      </c>
      <c r="E516" s="346" t="s">
        <v>262</v>
      </c>
      <c r="F516" s="347">
        <f>9000</f>
        <v>9000</v>
      </c>
    </row>
    <row r="517" spans="1:6" ht="17.100000000000001" customHeight="1">
      <c r="A517" s="901"/>
      <c r="B517" s="883"/>
      <c r="C517" s="462"/>
      <c r="D517" s="1267"/>
      <c r="E517" s="1269"/>
      <c r="F517" s="1270"/>
    </row>
    <row r="518" spans="1:6" ht="17.100000000000001" customHeight="1">
      <c r="A518" s="901"/>
      <c r="B518" s="883"/>
      <c r="C518" s="462"/>
      <c r="D518" s="1290" t="s">
        <v>263</v>
      </c>
      <c r="E518" s="1291"/>
      <c r="F518" s="347">
        <f>F519</f>
        <v>900</v>
      </c>
    </row>
    <row r="519" spans="1:6" ht="17.100000000000001" customHeight="1">
      <c r="A519" s="901"/>
      <c r="B519" s="883"/>
      <c r="C519" s="462"/>
      <c r="D519" s="472" t="s">
        <v>264</v>
      </c>
      <c r="E519" s="346" t="s">
        <v>265</v>
      </c>
      <c r="F519" s="347">
        <f>900</f>
        <v>900</v>
      </c>
    </row>
    <row r="520" spans="1:6" ht="17.100000000000001" customHeight="1">
      <c r="A520" s="901"/>
      <c r="B520" s="883"/>
      <c r="C520" s="462"/>
      <c r="D520" s="1267"/>
      <c r="E520" s="1269"/>
      <c r="F520" s="1270"/>
    </row>
    <row r="521" spans="1:6" ht="17.100000000000001" customHeight="1">
      <c r="A521" s="901"/>
      <c r="B521" s="883"/>
      <c r="C521" s="462"/>
      <c r="D521" s="1296" t="s">
        <v>281</v>
      </c>
      <c r="E521" s="1297"/>
      <c r="F521" s="343">
        <f>F522</f>
        <v>100000</v>
      </c>
    </row>
    <row r="522" spans="1:6" ht="17.100000000000001" customHeight="1">
      <c r="A522" s="901"/>
      <c r="B522" s="883"/>
      <c r="C522" s="462"/>
      <c r="D522" s="1290" t="s">
        <v>904</v>
      </c>
      <c r="E522" s="1291"/>
      <c r="F522" s="347">
        <f>F523</f>
        <v>100000</v>
      </c>
    </row>
    <row r="523" spans="1:6" ht="17.100000000000001" customHeight="1">
      <c r="A523" s="901"/>
      <c r="B523" s="1299"/>
      <c r="C523" s="1300"/>
      <c r="D523" s="472" t="s">
        <v>270</v>
      </c>
      <c r="E523" s="346" t="s">
        <v>271</v>
      </c>
      <c r="F523" s="347">
        <f>100000</f>
        <v>100000</v>
      </c>
    </row>
    <row r="524" spans="1:6" ht="17.100000000000001" customHeight="1">
      <c r="A524" s="901"/>
      <c r="B524" s="1278" t="s">
        <v>413</v>
      </c>
      <c r="C524" s="1279"/>
      <c r="D524" s="340"/>
      <c r="E524" s="341" t="s">
        <v>414</v>
      </c>
      <c r="F524" s="342">
        <f>F525</f>
        <v>1190127</v>
      </c>
    </row>
    <row r="525" spans="1:6" ht="17.100000000000001" customHeight="1">
      <c r="A525" s="901"/>
      <c r="B525" s="1280"/>
      <c r="C525" s="1281"/>
      <c r="D525" s="1284" t="s">
        <v>213</v>
      </c>
      <c r="E525" s="1285"/>
      <c r="F525" s="343">
        <f>F526</f>
        <v>1190127</v>
      </c>
    </row>
    <row r="526" spans="1:6" ht="17.100000000000001" customHeight="1">
      <c r="A526" s="901"/>
      <c r="B526" s="1282"/>
      <c r="C526" s="1283"/>
      <c r="D526" s="1286" t="s">
        <v>214</v>
      </c>
      <c r="E526" s="1294"/>
      <c r="F526" s="347">
        <f>F527</f>
        <v>1190127</v>
      </c>
    </row>
    <row r="527" spans="1:6" ht="17.100000000000001" customHeight="1">
      <c r="A527" s="901"/>
      <c r="B527" s="1282"/>
      <c r="C527" s="1283"/>
      <c r="D527" s="1292" t="s">
        <v>226</v>
      </c>
      <c r="E527" s="1293"/>
      <c r="F527" s="347">
        <f>F528</f>
        <v>1190127</v>
      </c>
    </row>
    <row r="528" spans="1:6" ht="17.100000000000001" customHeight="1">
      <c r="A528" s="901"/>
      <c r="B528" s="1303"/>
      <c r="C528" s="1308"/>
      <c r="D528" s="472" t="s">
        <v>237</v>
      </c>
      <c r="E528" s="346" t="s">
        <v>238</v>
      </c>
      <c r="F528" s="347">
        <f>1190127</f>
        <v>1190127</v>
      </c>
    </row>
    <row r="529" spans="1:6" ht="17.100000000000001" customHeight="1">
      <c r="A529" s="901"/>
      <c r="B529" s="1278" t="s">
        <v>415</v>
      </c>
      <c r="C529" s="1279"/>
      <c r="D529" s="340"/>
      <c r="E529" s="341" t="s">
        <v>332</v>
      </c>
      <c r="F529" s="342">
        <f>F530+F535</f>
        <v>105000</v>
      </c>
    </row>
    <row r="530" spans="1:6" ht="17.100000000000001" customHeight="1">
      <c r="A530" s="901"/>
      <c r="B530" s="1280"/>
      <c r="C530" s="1281"/>
      <c r="D530" s="1284" t="s">
        <v>213</v>
      </c>
      <c r="E530" s="1285"/>
      <c r="F530" s="343">
        <f>F531</f>
        <v>100000</v>
      </c>
    </row>
    <row r="531" spans="1:6" ht="17.100000000000001" customHeight="1">
      <c r="A531" s="901"/>
      <c r="B531" s="1282"/>
      <c r="C531" s="1283"/>
      <c r="D531" s="1286" t="s">
        <v>214</v>
      </c>
      <c r="E531" s="1294"/>
      <c r="F531" s="347">
        <f>F532</f>
        <v>100000</v>
      </c>
    </row>
    <row r="532" spans="1:6" ht="17.100000000000001" customHeight="1">
      <c r="A532" s="901"/>
      <c r="B532" s="1282"/>
      <c r="C532" s="1283"/>
      <c r="D532" s="1292" t="s">
        <v>226</v>
      </c>
      <c r="E532" s="1293"/>
      <c r="F532" s="347">
        <f>F533</f>
        <v>100000</v>
      </c>
    </row>
    <row r="533" spans="1:6" ht="17.100000000000001" customHeight="1">
      <c r="A533" s="901"/>
      <c r="B533" s="1282"/>
      <c r="C533" s="1283"/>
      <c r="D533" s="472" t="s">
        <v>233</v>
      </c>
      <c r="E533" s="346" t="s">
        <v>234</v>
      </c>
      <c r="F533" s="347">
        <f>100000</f>
        <v>100000</v>
      </c>
    </row>
    <row r="534" spans="1:6" ht="17.100000000000001" customHeight="1">
      <c r="A534" s="901"/>
      <c r="B534" s="1282"/>
      <c r="C534" s="1283"/>
      <c r="D534" s="1267"/>
      <c r="E534" s="1269"/>
      <c r="F534" s="1270"/>
    </row>
    <row r="535" spans="1:6" ht="17.100000000000001" customHeight="1">
      <c r="A535" s="901"/>
      <c r="B535" s="1282"/>
      <c r="C535" s="1283"/>
      <c r="D535" s="1296" t="s">
        <v>281</v>
      </c>
      <c r="E535" s="1297"/>
      <c r="F535" s="343">
        <f>F536</f>
        <v>5000</v>
      </c>
    </row>
    <row r="536" spans="1:6" ht="17.100000000000001" customHeight="1">
      <c r="A536" s="901"/>
      <c r="B536" s="1282"/>
      <c r="C536" s="1283"/>
      <c r="D536" s="1290" t="s">
        <v>904</v>
      </c>
      <c r="E536" s="1291"/>
      <c r="F536" s="347">
        <f>F537</f>
        <v>5000</v>
      </c>
    </row>
    <row r="537" spans="1:6" ht="17.100000000000001" customHeight="1">
      <c r="A537" s="901"/>
      <c r="B537" s="1303"/>
      <c r="C537" s="1308"/>
      <c r="D537" s="472" t="s">
        <v>268</v>
      </c>
      <c r="E537" s="346" t="s">
        <v>269</v>
      </c>
      <c r="F537" s="347">
        <f>5000</f>
        <v>5000</v>
      </c>
    </row>
    <row r="538" spans="1:6" ht="17.100000000000001" customHeight="1">
      <c r="A538" s="900" t="s">
        <v>416</v>
      </c>
      <c r="B538" s="1276"/>
      <c r="C538" s="1277"/>
      <c r="D538" s="337"/>
      <c r="E538" s="338" t="s">
        <v>417</v>
      </c>
      <c r="F538" s="339">
        <f>F539</f>
        <v>310388689</v>
      </c>
    </row>
    <row r="539" spans="1:6" ht="17.100000000000001" customHeight="1">
      <c r="A539" s="901"/>
      <c r="B539" s="1278" t="s">
        <v>418</v>
      </c>
      <c r="C539" s="1279"/>
      <c r="D539" s="340"/>
      <c r="E539" s="341" t="s">
        <v>332</v>
      </c>
      <c r="F539" s="342">
        <f>F540+F551</f>
        <v>310388689</v>
      </c>
    </row>
    <row r="540" spans="1:6" ht="17.100000000000001" customHeight="1">
      <c r="A540" s="901"/>
      <c r="B540" s="1280"/>
      <c r="C540" s="1281"/>
      <c r="D540" s="1284" t="s">
        <v>213</v>
      </c>
      <c r="E540" s="1285"/>
      <c r="F540" s="343">
        <f>F541</f>
        <v>544940</v>
      </c>
    </row>
    <row r="541" spans="1:6" ht="17.100000000000001" customHeight="1">
      <c r="A541" s="901"/>
      <c r="B541" s="1282"/>
      <c r="C541" s="1283"/>
      <c r="D541" s="1286" t="s">
        <v>214</v>
      </c>
      <c r="E541" s="1294"/>
      <c r="F541" s="347">
        <f>F542</f>
        <v>544940</v>
      </c>
    </row>
    <row r="542" spans="1:6" ht="17.100000000000001" customHeight="1">
      <c r="A542" s="901"/>
      <c r="B542" s="1282"/>
      <c r="C542" s="1283"/>
      <c r="D542" s="1292" t="s">
        <v>226</v>
      </c>
      <c r="E542" s="1293"/>
      <c r="F542" s="347">
        <f>SUM(F543:F549)</f>
        <v>544940</v>
      </c>
    </row>
    <row r="543" spans="1:6" ht="17.100000000000001" customHeight="1">
      <c r="A543" s="901"/>
      <c r="B543" s="1282"/>
      <c r="C543" s="1283"/>
      <c r="D543" s="472" t="s">
        <v>229</v>
      </c>
      <c r="E543" s="346" t="s">
        <v>230</v>
      </c>
      <c r="F543" s="347">
        <f>5000</f>
        <v>5000</v>
      </c>
    </row>
    <row r="544" spans="1:6" ht="17.100000000000001" customHeight="1">
      <c r="A544" s="901"/>
      <c r="B544" s="1282"/>
      <c r="C544" s="1283"/>
      <c r="D544" s="472" t="s">
        <v>231</v>
      </c>
      <c r="E544" s="346" t="s">
        <v>232</v>
      </c>
      <c r="F544" s="347">
        <f>45000</f>
        <v>45000</v>
      </c>
    </row>
    <row r="545" spans="1:7" ht="17.100000000000001" customHeight="1">
      <c r="A545" s="901"/>
      <c r="B545" s="1282"/>
      <c r="C545" s="1283"/>
      <c r="D545" s="472" t="s">
        <v>237</v>
      </c>
      <c r="E545" s="346" t="s">
        <v>238</v>
      </c>
      <c r="F545" s="347">
        <f>336000</f>
        <v>336000</v>
      </c>
    </row>
    <row r="546" spans="1:7" ht="17.100000000000001" customHeight="1">
      <c r="A546" s="901"/>
      <c r="B546" s="1282"/>
      <c r="C546" s="1283"/>
      <c r="D546" s="472" t="s">
        <v>239</v>
      </c>
      <c r="E546" s="346" t="s">
        <v>240</v>
      </c>
      <c r="F546" s="347">
        <f>40000</f>
        <v>40000</v>
      </c>
    </row>
    <row r="547" spans="1:7" ht="17.100000000000001" customHeight="1">
      <c r="A547" s="901"/>
      <c r="B547" s="1282"/>
      <c r="C547" s="1283"/>
      <c r="D547" s="472" t="s">
        <v>245</v>
      </c>
      <c r="E547" s="346" t="s">
        <v>246</v>
      </c>
      <c r="F547" s="347">
        <f>90000</f>
        <v>90000</v>
      </c>
    </row>
    <row r="548" spans="1:7" ht="17.100000000000001" customHeight="1">
      <c r="A548" s="901"/>
      <c r="B548" s="889"/>
      <c r="C548" s="468"/>
      <c r="D548" s="467" t="s">
        <v>251</v>
      </c>
      <c r="E548" s="346" t="s">
        <v>252</v>
      </c>
      <c r="F548" s="394">
        <f>16340</f>
        <v>16340</v>
      </c>
    </row>
    <row r="549" spans="1:7" ht="17.100000000000001" customHeight="1">
      <c r="A549" s="901"/>
      <c r="B549" s="889"/>
      <c r="C549" s="468"/>
      <c r="D549" s="472" t="s">
        <v>261</v>
      </c>
      <c r="E549" s="346" t="s">
        <v>262</v>
      </c>
      <c r="F549" s="395">
        <f>12600</f>
        <v>12600</v>
      </c>
    </row>
    <row r="550" spans="1:7" ht="17.100000000000001" customHeight="1">
      <c r="A550" s="901"/>
      <c r="B550" s="889"/>
      <c r="C550" s="468"/>
      <c r="D550" s="1267"/>
      <c r="E550" s="1269"/>
      <c r="F550" s="1270"/>
    </row>
    <row r="551" spans="1:7" ht="17.100000000000001" customHeight="1">
      <c r="A551" s="901"/>
      <c r="B551" s="889"/>
      <c r="C551" s="468"/>
      <c r="D551" s="1296" t="s">
        <v>281</v>
      </c>
      <c r="E551" s="1297"/>
      <c r="F551" s="343">
        <f>F552</f>
        <v>309843749</v>
      </c>
    </row>
    <row r="552" spans="1:7" ht="17.100000000000001" customHeight="1">
      <c r="A552" s="901"/>
      <c r="B552" s="889"/>
      <c r="C552" s="468"/>
      <c r="D552" s="1290" t="s">
        <v>904</v>
      </c>
      <c r="E552" s="1291"/>
      <c r="F552" s="347">
        <f>SUM(F553:F556)</f>
        <v>309843749</v>
      </c>
    </row>
    <row r="553" spans="1:7" ht="17.100000000000001" customHeight="1">
      <c r="A553" s="901"/>
      <c r="B553" s="1267"/>
      <c r="C553" s="1268"/>
      <c r="D553" s="472" t="s">
        <v>268</v>
      </c>
      <c r="E553" s="346" t="s">
        <v>269</v>
      </c>
      <c r="F553" s="347">
        <f>57585595</f>
        <v>57585595</v>
      </c>
      <c r="G553" s="363"/>
    </row>
    <row r="554" spans="1:7" ht="17.100000000000001" customHeight="1">
      <c r="A554" s="901"/>
      <c r="B554" s="1267"/>
      <c r="C554" s="1268"/>
      <c r="D554" s="472" t="s">
        <v>282</v>
      </c>
      <c r="E554" s="346" t="s">
        <v>269</v>
      </c>
      <c r="F554" s="347">
        <f>213429378</f>
        <v>213429378</v>
      </c>
      <c r="G554" s="375"/>
    </row>
    <row r="555" spans="1:7" ht="17.100000000000001" customHeight="1">
      <c r="A555" s="901"/>
      <c r="B555" s="1267"/>
      <c r="C555" s="1268"/>
      <c r="D555" s="472" t="s">
        <v>283</v>
      </c>
      <c r="E555" s="346" t="s">
        <v>269</v>
      </c>
      <c r="F555" s="347">
        <f>38828776</f>
        <v>38828776</v>
      </c>
    </row>
    <row r="556" spans="1:7" ht="38.25" hidden="1">
      <c r="A556" s="901"/>
      <c r="B556" s="1267"/>
      <c r="C556" s="1268"/>
      <c r="D556" s="472" t="s">
        <v>394</v>
      </c>
      <c r="E556" s="346" t="s">
        <v>349</v>
      </c>
      <c r="F556" s="347"/>
    </row>
    <row r="557" spans="1:7" ht="15.75" customHeight="1">
      <c r="A557" s="901"/>
      <c r="B557" s="883"/>
      <c r="C557" s="462"/>
      <c r="D557" s="1267"/>
      <c r="E557" s="1323"/>
      <c r="F557" s="1324"/>
    </row>
    <row r="558" spans="1:7" ht="15.75" customHeight="1">
      <c r="A558" s="901"/>
      <c r="B558" s="883"/>
      <c r="C558" s="462"/>
      <c r="D558" s="1292" t="s">
        <v>284</v>
      </c>
      <c r="E558" s="1307"/>
      <c r="F558" s="347">
        <f>F559+F560+F561</f>
        <v>309843749</v>
      </c>
    </row>
    <row r="559" spans="1:7" ht="15.75" customHeight="1">
      <c r="A559" s="901"/>
      <c r="B559" s="883"/>
      <c r="C559" s="462"/>
      <c r="D559" s="472" t="s">
        <v>268</v>
      </c>
      <c r="E559" s="396" t="s">
        <v>269</v>
      </c>
      <c r="F559" s="347">
        <f>57585595</f>
        <v>57585595</v>
      </c>
    </row>
    <row r="560" spans="1:7" ht="15.75" customHeight="1">
      <c r="A560" s="901"/>
      <c r="B560" s="883"/>
      <c r="C560" s="462"/>
      <c r="D560" s="472" t="s">
        <v>282</v>
      </c>
      <c r="E560" s="396" t="s">
        <v>269</v>
      </c>
      <c r="F560" s="347">
        <f>213429378</f>
        <v>213429378</v>
      </c>
    </row>
    <row r="561" spans="1:6" ht="15.75" customHeight="1">
      <c r="A561" s="901"/>
      <c r="B561" s="883"/>
      <c r="C561" s="462"/>
      <c r="D561" s="472" t="s">
        <v>283</v>
      </c>
      <c r="E561" s="346" t="s">
        <v>269</v>
      </c>
      <c r="F561" s="347">
        <f>38828776</f>
        <v>38828776</v>
      </c>
    </row>
    <row r="562" spans="1:6" ht="17.100000000000001" hidden="1" customHeight="1">
      <c r="A562" s="900" t="s">
        <v>419</v>
      </c>
      <c r="B562" s="1276"/>
      <c r="C562" s="1277"/>
      <c r="D562" s="337"/>
      <c r="E562" s="338" t="s">
        <v>420</v>
      </c>
      <c r="F562" s="339">
        <f>F563</f>
        <v>0</v>
      </c>
    </row>
    <row r="563" spans="1:6" ht="17.100000000000001" hidden="1" customHeight="1">
      <c r="A563" s="901"/>
      <c r="B563" s="1278" t="s">
        <v>421</v>
      </c>
      <c r="C563" s="1279"/>
      <c r="D563" s="340"/>
      <c r="E563" s="341" t="s">
        <v>332</v>
      </c>
      <c r="F563" s="342">
        <f>F564</f>
        <v>0</v>
      </c>
    </row>
    <row r="564" spans="1:6" ht="17.100000000000001" hidden="1" customHeight="1">
      <c r="A564" s="901"/>
      <c r="B564" s="1280"/>
      <c r="C564" s="1281"/>
      <c r="D564" s="1284" t="s">
        <v>213</v>
      </c>
      <c r="E564" s="1285"/>
      <c r="F564" s="343">
        <f>F565</f>
        <v>0</v>
      </c>
    </row>
    <row r="565" spans="1:6" ht="17.100000000000001" hidden="1" customHeight="1">
      <c r="A565" s="901"/>
      <c r="B565" s="1282"/>
      <c r="C565" s="1283"/>
      <c r="D565" s="1286" t="s">
        <v>343</v>
      </c>
      <c r="E565" s="1294"/>
      <c r="F565" s="347">
        <f>SUM(F566:F593)</f>
        <v>0</v>
      </c>
    </row>
    <row r="566" spans="1:6" ht="37.5" hidden="1" customHeight="1">
      <c r="A566" s="901"/>
      <c r="B566" s="1282"/>
      <c r="C566" s="1283"/>
      <c r="D566" s="472" t="s">
        <v>422</v>
      </c>
      <c r="E566" s="346" t="s">
        <v>349</v>
      </c>
      <c r="F566" s="347"/>
    </row>
    <row r="567" spans="1:6" ht="39" hidden="1" customHeight="1">
      <c r="A567" s="901"/>
      <c r="B567" s="1267"/>
      <c r="C567" s="1268"/>
      <c r="D567" s="472" t="s">
        <v>348</v>
      </c>
      <c r="E567" s="346" t="s">
        <v>349</v>
      </c>
      <c r="F567" s="347"/>
    </row>
    <row r="568" spans="1:6" ht="17.100000000000001" hidden="1" customHeight="1">
      <c r="A568" s="901"/>
      <c r="B568" s="1267"/>
      <c r="C568" s="1268"/>
      <c r="D568" s="472" t="s">
        <v>362</v>
      </c>
      <c r="E568" s="346" t="s">
        <v>217</v>
      </c>
      <c r="F568" s="347"/>
    </row>
    <row r="569" spans="1:6" ht="17.100000000000001" hidden="1" customHeight="1">
      <c r="A569" s="901"/>
      <c r="B569" s="1267"/>
      <c r="C569" s="1268"/>
      <c r="D569" s="472" t="s">
        <v>292</v>
      </c>
      <c r="E569" s="346" t="s">
        <v>217</v>
      </c>
      <c r="F569" s="347"/>
    </row>
    <row r="570" spans="1:6" ht="17.100000000000001" hidden="1" customHeight="1">
      <c r="A570" s="901"/>
      <c r="B570" s="1267"/>
      <c r="C570" s="1268"/>
      <c r="D570" s="472" t="s">
        <v>423</v>
      </c>
      <c r="E570" s="346" t="s">
        <v>219</v>
      </c>
      <c r="F570" s="347"/>
    </row>
    <row r="571" spans="1:6" ht="17.100000000000001" hidden="1" customHeight="1">
      <c r="A571" s="901"/>
      <c r="B571" s="1267"/>
      <c r="C571" s="1268"/>
      <c r="D571" s="472" t="s">
        <v>294</v>
      </c>
      <c r="E571" s="346" t="s">
        <v>219</v>
      </c>
      <c r="F571" s="347"/>
    </row>
    <row r="572" spans="1:6" ht="17.100000000000001" hidden="1" customHeight="1">
      <c r="A572" s="901"/>
      <c r="B572" s="1267"/>
      <c r="C572" s="1268"/>
      <c r="D572" s="472" t="s">
        <v>363</v>
      </c>
      <c r="E572" s="346" t="s">
        <v>221</v>
      </c>
      <c r="F572" s="347"/>
    </row>
    <row r="573" spans="1:6" ht="17.100000000000001" hidden="1" customHeight="1">
      <c r="A573" s="901"/>
      <c r="B573" s="1267"/>
      <c r="C573" s="1268"/>
      <c r="D573" s="472" t="s">
        <v>296</v>
      </c>
      <c r="E573" s="346" t="s">
        <v>221</v>
      </c>
      <c r="F573" s="347"/>
    </row>
    <row r="574" spans="1:6" ht="17.100000000000001" hidden="1" customHeight="1">
      <c r="A574" s="901"/>
      <c r="B574" s="1267"/>
      <c r="C574" s="1268"/>
      <c r="D574" s="472" t="s">
        <v>364</v>
      </c>
      <c r="E574" s="346" t="s">
        <v>223</v>
      </c>
      <c r="F574" s="347"/>
    </row>
    <row r="575" spans="1:6" ht="17.100000000000001" hidden="1" customHeight="1">
      <c r="A575" s="901"/>
      <c r="B575" s="1267"/>
      <c r="C575" s="1268"/>
      <c r="D575" s="472" t="s">
        <v>298</v>
      </c>
      <c r="E575" s="346" t="s">
        <v>223</v>
      </c>
      <c r="F575" s="347"/>
    </row>
    <row r="576" spans="1:6" ht="17.100000000000001" hidden="1" customHeight="1">
      <c r="A576" s="901"/>
      <c r="B576" s="1267"/>
      <c r="C576" s="1268"/>
      <c r="D576" s="472" t="s">
        <v>365</v>
      </c>
      <c r="E576" s="346" t="s">
        <v>230</v>
      </c>
      <c r="F576" s="347"/>
    </row>
    <row r="577" spans="1:6" ht="17.100000000000001" hidden="1" customHeight="1">
      <c r="A577" s="901"/>
      <c r="B577" s="1267"/>
      <c r="C577" s="1268"/>
      <c r="D577" s="472" t="s">
        <v>302</v>
      </c>
      <c r="E577" s="346" t="s">
        <v>230</v>
      </c>
      <c r="F577" s="347"/>
    </row>
    <row r="578" spans="1:6" ht="17.100000000000001" hidden="1" customHeight="1">
      <c r="A578" s="901"/>
      <c r="B578" s="1267"/>
      <c r="C578" s="1268"/>
      <c r="D578" s="472" t="s">
        <v>424</v>
      </c>
      <c r="E578" s="346" t="s">
        <v>232</v>
      </c>
      <c r="F578" s="347"/>
    </row>
    <row r="579" spans="1:6" ht="17.100000000000001" hidden="1" customHeight="1">
      <c r="A579" s="901"/>
      <c r="B579" s="1267"/>
      <c r="C579" s="1268"/>
      <c r="D579" s="472" t="s">
        <v>425</v>
      </c>
      <c r="E579" s="346" t="s">
        <v>232</v>
      </c>
      <c r="F579" s="347"/>
    </row>
    <row r="580" spans="1:6" ht="17.100000000000001" hidden="1" customHeight="1">
      <c r="A580" s="901"/>
      <c r="B580" s="1267"/>
      <c r="C580" s="1268"/>
      <c r="D580" s="472" t="s">
        <v>366</v>
      </c>
      <c r="E580" s="346" t="s">
        <v>238</v>
      </c>
      <c r="F580" s="347"/>
    </row>
    <row r="581" spans="1:6" ht="17.100000000000001" hidden="1" customHeight="1">
      <c r="A581" s="901"/>
      <c r="B581" s="1267"/>
      <c r="C581" s="1268"/>
      <c r="D581" s="472" t="s">
        <v>304</v>
      </c>
      <c r="E581" s="346" t="s">
        <v>238</v>
      </c>
      <c r="F581" s="347"/>
    </row>
    <row r="582" spans="1:6" ht="17.100000000000001" hidden="1" customHeight="1">
      <c r="A582" s="901"/>
      <c r="B582" s="1267"/>
      <c r="C582" s="1268"/>
      <c r="D582" s="472" t="s">
        <v>426</v>
      </c>
      <c r="E582" s="346" t="s">
        <v>240</v>
      </c>
      <c r="F582" s="347"/>
    </row>
    <row r="583" spans="1:6" ht="17.100000000000001" hidden="1" customHeight="1">
      <c r="A583" s="901"/>
      <c r="B583" s="1267"/>
      <c r="C583" s="1268"/>
      <c r="D583" s="472" t="s">
        <v>306</v>
      </c>
      <c r="E583" s="346" t="s">
        <v>240</v>
      </c>
      <c r="F583" s="347"/>
    </row>
    <row r="584" spans="1:6" ht="24" hidden="1" customHeight="1">
      <c r="A584" s="901"/>
      <c r="B584" s="1267"/>
      <c r="C584" s="1268"/>
      <c r="D584" s="472" t="s">
        <v>427</v>
      </c>
      <c r="E584" s="346" t="s">
        <v>242</v>
      </c>
      <c r="F584" s="347"/>
    </row>
    <row r="585" spans="1:6" ht="24.75" hidden="1" customHeight="1">
      <c r="A585" s="901"/>
      <c r="B585" s="1267"/>
      <c r="C585" s="1268"/>
      <c r="D585" s="472" t="s">
        <v>308</v>
      </c>
      <c r="E585" s="346" t="s">
        <v>242</v>
      </c>
      <c r="F585" s="347"/>
    </row>
    <row r="586" spans="1:6" ht="17.100000000000001" hidden="1" customHeight="1">
      <c r="A586" s="901"/>
      <c r="B586" s="1267"/>
      <c r="C586" s="1268"/>
      <c r="D586" s="472" t="s">
        <v>392</v>
      </c>
      <c r="E586" s="346" t="s">
        <v>250</v>
      </c>
      <c r="F586" s="347"/>
    </row>
    <row r="587" spans="1:6" ht="17.100000000000001" hidden="1" customHeight="1">
      <c r="A587" s="901"/>
      <c r="B587" s="1267"/>
      <c r="C587" s="1268"/>
      <c r="D587" s="472" t="s">
        <v>310</v>
      </c>
      <c r="E587" s="346" t="s">
        <v>250</v>
      </c>
      <c r="F587" s="347"/>
    </row>
    <row r="588" spans="1:6" ht="17.100000000000001" hidden="1" customHeight="1">
      <c r="A588" s="901"/>
      <c r="B588" s="1267"/>
      <c r="C588" s="1268"/>
      <c r="D588" s="472" t="s">
        <v>393</v>
      </c>
      <c r="E588" s="346" t="s">
        <v>312</v>
      </c>
      <c r="F588" s="347"/>
    </row>
    <row r="589" spans="1:6" ht="17.100000000000001" hidden="1" customHeight="1">
      <c r="A589" s="901"/>
      <c r="B589" s="1267"/>
      <c r="C589" s="1268"/>
      <c r="D589" s="472" t="s">
        <v>314</v>
      </c>
      <c r="E589" s="346" t="s">
        <v>312</v>
      </c>
      <c r="F589" s="347"/>
    </row>
    <row r="590" spans="1:6" ht="17.100000000000001" hidden="1" customHeight="1">
      <c r="A590" s="901"/>
      <c r="B590" s="1267"/>
      <c r="C590" s="1268"/>
      <c r="D590" s="472" t="s">
        <v>428</v>
      </c>
      <c r="E590" s="346" t="s">
        <v>254</v>
      </c>
      <c r="F590" s="347"/>
    </row>
    <row r="591" spans="1:6" ht="17.100000000000001" hidden="1" customHeight="1">
      <c r="A591" s="901"/>
      <c r="B591" s="1267"/>
      <c r="C591" s="1268"/>
      <c r="D591" s="472" t="s">
        <v>429</v>
      </c>
      <c r="E591" s="346" t="s">
        <v>254</v>
      </c>
      <c r="F591" s="347"/>
    </row>
    <row r="592" spans="1:6" ht="17.100000000000001" hidden="1" customHeight="1">
      <c r="A592" s="901"/>
      <c r="B592" s="1267"/>
      <c r="C592" s="1268"/>
      <c r="D592" s="472" t="s">
        <v>430</v>
      </c>
      <c r="E592" s="346" t="s">
        <v>262</v>
      </c>
      <c r="F592" s="347"/>
    </row>
    <row r="593" spans="1:6" ht="17.100000000000001" hidden="1" customHeight="1">
      <c r="A593" s="901"/>
      <c r="B593" s="1267"/>
      <c r="C593" s="1268"/>
      <c r="D593" s="472" t="s">
        <v>318</v>
      </c>
      <c r="E593" s="346" t="s">
        <v>262</v>
      </c>
      <c r="F593" s="347"/>
    </row>
    <row r="594" spans="1:6" ht="17.100000000000001" customHeight="1">
      <c r="A594" s="900" t="s">
        <v>7</v>
      </c>
      <c r="B594" s="1276"/>
      <c r="C594" s="1277"/>
      <c r="D594" s="337"/>
      <c r="E594" s="338" t="s">
        <v>431</v>
      </c>
      <c r="F594" s="339">
        <f>F595+F615+F628+F713+F724+F755+F776+F781</f>
        <v>179528747</v>
      </c>
    </row>
    <row r="595" spans="1:6" ht="17.100000000000001" customHeight="1">
      <c r="A595" s="901"/>
      <c r="B595" s="1278" t="s">
        <v>432</v>
      </c>
      <c r="C595" s="1279"/>
      <c r="D595" s="340"/>
      <c r="E595" s="341" t="s">
        <v>433</v>
      </c>
      <c r="F595" s="342">
        <f>F596</f>
        <v>1922651</v>
      </c>
    </row>
    <row r="596" spans="1:6" ht="17.100000000000001" customHeight="1">
      <c r="A596" s="901"/>
      <c r="B596" s="1280"/>
      <c r="C596" s="1281"/>
      <c r="D596" s="1284" t="s">
        <v>213</v>
      </c>
      <c r="E596" s="1285"/>
      <c r="F596" s="343">
        <f>F597</f>
        <v>1922651</v>
      </c>
    </row>
    <row r="597" spans="1:6" ht="17.100000000000001" customHeight="1">
      <c r="A597" s="901"/>
      <c r="B597" s="1282"/>
      <c r="C597" s="1283"/>
      <c r="D597" s="1286" t="s">
        <v>214</v>
      </c>
      <c r="E597" s="1294"/>
      <c r="F597" s="347">
        <f>F598+F605</f>
        <v>1922651</v>
      </c>
    </row>
    <row r="598" spans="1:6" ht="17.100000000000001" customHeight="1">
      <c r="A598" s="901"/>
      <c r="B598" s="1282"/>
      <c r="C598" s="1283"/>
      <c r="D598" s="1288" t="s">
        <v>215</v>
      </c>
      <c r="E598" s="1295"/>
      <c r="F598" s="347">
        <f>SUM(F599:F603)</f>
        <v>1846831</v>
      </c>
    </row>
    <row r="599" spans="1:6" ht="17.100000000000001" customHeight="1">
      <c r="A599" s="901"/>
      <c r="B599" s="1282"/>
      <c r="C599" s="1283"/>
      <c r="D599" s="472" t="s">
        <v>216</v>
      </c>
      <c r="E599" s="346" t="s">
        <v>217</v>
      </c>
      <c r="F599" s="347">
        <f>1467991</f>
        <v>1467991</v>
      </c>
    </row>
    <row r="600" spans="1:6" ht="17.100000000000001" customHeight="1">
      <c r="A600" s="901"/>
      <c r="B600" s="1282"/>
      <c r="C600" s="1283"/>
      <c r="D600" s="472" t="s">
        <v>218</v>
      </c>
      <c r="E600" s="346" t="s">
        <v>219</v>
      </c>
      <c r="F600" s="347">
        <f>85141</f>
        <v>85141</v>
      </c>
    </row>
    <row r="601" spans="1:6" ht="17.100000000000001" customHeight="1">
      <c r="A601" s="901"/>
      <c r="B601" s="1267"/>
      <c r="C601" s="1268"/>
      <c r="D601" s="472" t="s">
        <v>220</v>
      </c>
      <c r="E601" s="346" t="s">
        <v>221</v>
      </c>
      <c r="F601" s="347">
        <f>252685</f>
        <v>252685</v>
      </c>
    </row>
    <row r="602" spans="1:6" ht="17.100000000000001" customHeight="1">
      <c r="A602" s="901"/>
      <c r="B602" s="1267"/>
      <c r="C602" s="1268"/>
      <c r="D602" s="472" t="s">
        <v>222</v>
      </c>
      <c r="E602" s="346" t="s">
        <v>223</v>
      </c>
      <c r="F602" s="347">
        <f>36014</f>
        <v>36014</v>
      </c>
    </row>
    <row r="603" spans="1:6" ht="17.100000000000001" customHeight="1">
      <c r="A603" s="901"/>
      <c r="B603" s="1267"/>
      <c r="C603" s="1268"/>
      <c r="D603" s="472" t="s">
        <v>224</v>
      </c>
      <c r="E603" s="346" t="s">
        <v>225</v>
      </c>
      <c r="F603" s="347">
        <f>5000</f>
        <v>5000</v>
      </c>
    </row>
    <row r="604" spans="1:6" ht="17.100000000000001" customHeight="1">
      <c r="A604" s="901"/>
      <c r="B604" s="883"/>
      <c r="C604" s="462"/>
      <c r="D604" s="1267"/>
      <c r="E604" s="1269"/>
      <c r="F604" s="1270"/>
    </row>
    <row r="605" spans="1:6" ht="17.100000000000001" customHeight="1">
      <c r="A605" s="901"/>
      <c r="B605" s="883"/>
      <c r="C605" s="462"/>
      <c r="D605" s="1292" t="s">
        <v>226</v>
      </c>
      <c r="E605" s="1293"/>
      <c r="F605" s="347">
        <f>SUM(F606:F614)</f>
        <v>75820</v>
      </c>
    </row>
    <row r="606" spans="1:6" ht="17.100000000000001" customHeight="1">
      <c r="A606" s="901"/>
      <c r="B606" s="883"/>
      <c r="C606" s="462"/>
      <c r="D606" s="472" t="s">
        <v>227</v>
      </c>
      <c r="E606" s="346" t="s">
        <v>228</v>
      </c>
      <c r="F606" s="347">
        <f>38000</f>
        <v>38000</v>
      </c>
    </row>
    <row r="607" spans="1:6" ht="17.100000000000001" hidden="1" customHeight="1">
      <c r="A607" s="901"/>
      <c r="B607" s="1267"/>
      <c r="C607" s="1268"/>
      <c r="D607" s="472" t="s">
        <v>229</v>
      </c>
      <c r="E607" s="346" t="s">
        <v>230</v>
      </c>
      <c r="F607" s="347"/>
    </row>
    <row r="608" spans="1:6" ht="17.100000000000001" hidden="1" customHeight="1">
      <c r="A608" s="901"/>
      <c r="B608" s="1267"/>
      <c r="C608" s="1268"/>
      <c r="D608" s="472" t="s">
        <v>231</v>
      </c>
      <c r="E608" s="346" t="s">
        <v>232</v>
      </c>
      <c r="F608" s="347"/>
    </row>
    <row r="609" spans="1:6" ht="17.100000000000001" hidden="1" customHeight="1">
      <c r="A609" s="901"/>
      <c r="B609" s="1267"/>
      <c r="C609" s="1268"/>
      <c r="D609" s="472" t="s">
        <v>237</v>
      </c>
      <c r="E609" s="346" t="s">
        <v>238</v>
      </c>
      <c r="F609" s="347"/>
    </row>
    <row r="610" spans="1:6" ht="27.75" hidden="1" customHeight="1">
      <c r="A610" s="901"/>
      <c r="B610" s="1267"/>
      <c r="C610" s="1268"/>
      <c r="D610" s="472" t="s">
        <v>241</v>
      </c>
      <c r="E610" s="346" t="s">
        <v>242</v>
      </c>
      <c r="F610" s="347"/>
    </row>
    <row r="611" spans="1:6" ht="29.25" hidden="1" customHeight="1">
      <c r="A611" s="901"/>
      <c r="B611" s="1267"/>
      <c r="C611" s="1268"/>
      <c r="D611" s="472" t="s">
        <v>243</v>
      </c>
      <c r="E611" s="346" t="s">
        <v>244</v>
      </c>
      <c r="F611" s="347"/>
    </row>
    <row r="612" spans="1:6" ht="17.100000000000001" hidden="1" customHeight="1">
      <c r="A612" s="901"/>
      <c r="B612" s="1267"/>
      <c r="C612" s="1268"/>
      <c r="D612" s="472" t="s">
        <v>249</v>
      </c>
      <c r="E612" s="346" t="s">
        <v>250</v>
      </c>
      <c r="F612" s="347"/>
    </row>
    <row r="613" spans="1:6" ht="17.100000000000001" customHeight="1">
      <c r="A613" s="901"/>
      <c r="B613" s="1267"/>
      <c r="C613" s="1268"/>
      <c r="D613" s="472" t="s">
        <v>253</v>
      </c>
      <c r="E613" s="346" t="s">
        <v>254</v>
      </c>
      <c r="F613" s="347">
        <f>32820</f>
        <v>32820</v>
      </c>
    </row>
    <row r="614" spans="1:6" ht="17.100000000000001" customHeight="1">
      <c r="A614" s="901"/>
      <c r="B614" s="1299"/>
      <c r="C614" s="1300"/>
      <c r="D614" s="472" t="s">
        <v>261</v>
      </c>
      <c r="E614" s="346" t="s">
        <v>262</v>
      </c>
      <c r="F614" s="347">
        <f>5000</f>
        <v>5000</v>
      </c>
    </row>
    <row r="615" spans="1:6" ht="17.100000000000001" customHeight="1">
      <c r="A615" s="901"/>
      <c r="B615" s="1278" t="s">
        <v>434</v>
      </c>
      <c r="C615" s="1279"/>
      <c r="D615" s="340"/>
      <c r="E615" s="341" t="s">
        <v>435</v>
      </c>
      <c r="F615" s="342">
        <f>F616</f>
        <v>1035000</v>
      </c>
    </row>
    <row r="616" spans="1:6" ht="17.100000000000001" customHeight="1">
      <c r="A616" s="901"/>
      <c r="B616" s="883"/>
      <c r="C616" s="462"/>
      <c r="D616" s="1284" t="s">
        <v>213</v>
      </c>
      <c r="E616" s="1285"/>
      <c r="F616" s="343">
        <f>F617+F626</f>
        <v>1035000</v>
      </c>
    </row>
    <row r="617" spans="1:6" ht="17.100000000000001" customHeight="1">
      <c r="A617" s="901"/>
      <c r="B617" s="883"/>
      <c r="C617" s="462"/>
      <c r="D617" s="1286" t="s">
        <v>214</v>
      </c>
      <c r="E617" s="1294"/>
      <c r="F617" s="347">
        <f>F618+F621</f>
        <v>125000</v>
      </c>
    </row>
    <row r="618" spans="1:6" ht="17.100000000000001" customHeight="1">
      <c r="A618" s="901"/>
      <c r="B618" s="883"/>
      <c r="C618" s="462"/>
      <c r="D618" s="1288" t="s">
        <v>215</v>
      </c>
      <c r="E618" s="1295"/>
      <c r="F618" s="347">
        <f>F619</f>
        <v>5000</v>
      </c>
    </row>
    <row r="619" spans="1:6" ht="17.100000000000001" customHeight="1">
      <c r="A619" s="901"/>
      <c r="B619" s="1267"/>
      <c r="C619" s="1268"/>
      <c r="D619" s="472" t="s">
        <v>224</v>
      </c>
      <c r="E619" s="346" t="s">
        <v>225</v>
      </c>
      <c r="F619" s="347">
        <f>5000</f>
        <v>5000</v>
      </c>
    </row>
    <row r="620" spans="1:6" ht="17.100000000000001" customHeight="1">
      <c r="A620" s="901"/>
      <c r="B620" s="883"/>
      <c r="C620" s="462"/>
      <c r="D620" s="1267"/>
      <c r="E620" s="1269"/>
      <c r="F620" s="1270"/>
    </row>
    <row r="621" spans="1:6" ht="17.100000000000001" customHeight="1">
      <c r="A621" s="901"/>
      <c r="B621" s="883"/>
      <c r="C621" s="462"/>
      <c r="D621" s="1292" t="s">
        <v>226</v>
      </c>
      <c r="E621" s="1293"/>
      <c r="F621" s="347">
        <f>SUM(F622:F624)</f>
        <v>120000</v>
      </c>
    </row>
    <row r="622" spans="1:6" ht="17.100000000000001" customHeight="1">
      <c r="A622" s="901"/>
      <c r="B622" s="1267"/>
      <c r="C622" s="1268"/>
      <c r="D622" s="472" t="s">
        <v>229</v>
      </c>
      <c r="E622" s="346" t="s">
        <v>230</v>
      </c>
      <c r="F622" s="347">
        <f>20000</f>
        <v>20000</v>
      </c>
    </row>
    <row r="623" spans="1:6" ht="17.100000000000001" customHeight="1">
      <c r="A623" s="901"/>
      <c r="B623" s="1267"/>
      <c r="C623" s="1268"/>
      <c r="D623" s="472" t="s">
        <v>237</v>
      </c>
      <c r="E623" s="346" t="s">
        <v>238</v>
      </c>
      <c r="F623" s="347">
        <f>90000</f>
        <v>90000</v>
      </c>
    </row>
    <row r="624" spans="1:6" ht="17.100000000000001" customHeight="1">
      <c r="A624" s="901"/>
      <c r="B624" s="1267"/>
      <c r="C624" s="1268"/>
      <c r="D624" s="472" t="s">
        <v>239</v>
      </c>
      <c r="E624" s="346" t="s">
        <v>240</v>
      </c>
      <c r="F624" s="347">
        <f>10000</f>
        <v>10000</v>
      </c>
    </row>
    <row r="625" spans="1:6" ht="17.100000000000001" customHeight="1">
      <c r="A625" s="901"/>
      <c r="B625" s="883"/>
      <c r="C625" s="462"/>
      <c r="D625" s="1267"/>
      <c r="E625" s="1269"/>
      <c r="F625" s="1270"/>
    </row>
    <row r="626" spans="1:6" ht="17.100000000000001" customHeight="1">
      <c r="A626" s="901"/>
      <c r="B626" s="883"/>
      <c r="C626" s="462"/>
      <c r="D626" s="1290" t="s">
        <v>263</v>
      </c>
      <c r="E626" s="1291"/>
      <c r="F626" s="347">
        <f>F627</f>
        <v>910000</v>
      </c>
    </row>
    <row r="627" spans="1:6" ht="17.100000000000001" customHeight="1">
      <c r="A627" s="901"/>
      <c r="B627" s="883"/>
      <c r="C627" s="462"/>
      <c r="D627" s="472" t="s">
        <v>436</v>
      </c>
      <c r="E627" s="346" t="s">
        <v>437</v>
      </c>
      <c r="F627" s="347">
        <f>910000</f>
        <v>910000</v>
      </c>
    </row>
    <row r="628" spans="1:6" ht="17.100000000000001" customHeight="1">
      <c r="A628" s="901"/>
      <c r="B628" s="883"/>
      <c r="C628" s="397" t="s">
        <v>438</v>
      </c>
      <c r="D628" s="398"/>
      <c r="E628" s="399" t="s">
        <v>439</v>
      </c>
      <c r="F628" s="342">
        <f>F629+F702</f>
        <v>92458295</v>
      </c>
    </row>
    <row r="629" spans="1:6" ht="17.100000000000001" customHeight="1">
      <c r="A629" s="901"/>
      <c r="B629" s="883"/>
      <c r="C629" s="462"/>
      <c r="D629" s="1372" t="s">
        <v>440</v>
      </c>
      <c r="E629" s="1373"/>
      <c r="F629" s="358">
        <f>F630+F660+F663</f>
        <v>84281864</v>
      </c>
    </row>
    <row r="630" spans="1:6" ht="17.100000000000001" customHeight="1">
      <c r="A630" s="901"/>
      <c r="B630" s="883"/>
      <c r="C630" s="462"/>
      <c r="D630" s="1286" t="s">
        <v>214</v>
      </c>
      <c r="E630" s="1294"/>
      <c r="F630" s="377">
        <f>F631+F638</f>
        <v>49455792</v>
      </c>
    </row>
    <row r="631" spans="1:6" ht="17.100000000000001" customHeight="1">
      <c r="A631" s="901"/>
      <c r="B631" s="883"/>
      <c r="C631" s="462"/>
      <c r="D631" s="1288" t="s">
        <v>215</v>
      </c>
      <c r="E631" s="1295"/>
      <c r="F631" s="377">
        <f>SUM(F632:F636)</f>
        <v>40678107</v>
      </c>
    </row>
    <row r="632" spans="1:6" ht="17.100000000000001" customHeight="1">
      <c r="A632" s="901"/>
      <c r="B632" s="883"/>
      <c r="C632" s="462"/>
      <c r="D632" s="472" t="s">
        <v>216</v>
      </c>
      <c r="E632" s="346" t="s">
        <v>217</v>
      </c>
      <c r="F632" s="347">
        <f>32045208</f>
        <v>32045208</v>
      </c>
    </row>
    <row r="633" spans="1:6" ht="17.100000000000001" customHeight="1">
      <c r="A633" s="901"/>
      <c r="B633" s="883"/>
      <c r="C633" s="462"/>
      <c r="D633" s="472" t="s">
        <v>218</v>
      </c>
      <c r="E633" s="346" t="s">
        <v>219</v>
      </c>
      <c r="F633" s="347">
        <f>2289220</f>
        <v>2289220</v>
      </c>
    </row>
    <row r="634" spans="1:6" ht="17.100000000000001" customHeight="1">
      <c r="A634" s="901"/>
      <c r="B634" s="883"/>
      <c r="C634" s="462"/>
      <c r="D634" s="472" t="s">
        <v>220</v>
      </c>
      <c r="E634" s="346" t="s">
        <v>221</v>
      </c>
      <c r="F634" s="347">
        <f>5508571</f>
        <v>5508571</v>
      </c>
    </row>
    <row r="635" spans="1:6" ht="17.100000000000001" customHeight="1">
      <c r="A635" s="901"/>
      <c r="B635" s="883"/>
      <c r="C635" s="462"/>
      <c r="D635" s="472" t="s">
        <v>222</v>
      </c>
      <c r="E635" s="346" t="s">
        <v>223</v>
      </c>
      <c r="F635" s="347">
        <f>785108</f>
        <v>785108</v>
      </c>
    </row>
    <row r="636" spans="1:6" ht="17.100000000000001" customHeight="1">
      <c r="A636" s="901"/>
      <c r="B636" s="883"/>
      <c r="C636" s="462"/>
      <c r="D636" s="472" t="s">
        <v>224</v>
      </c>
      <c r="E636" s="346" t="s">
        <v>225</v>
      </c>
      <c r="F636" s="347">
        <f>50000</f>
        <v>50000</v>
      </c>
    </row>
    <row r="637" spans="1:6" ht="17.100000000000001" customHeight="1">
      <c r="A637" s="901"/>
      <c r="B637" s="883"/>
      <c r="C637" s="462"/>
      <c r="D637" s="1267"/>
      <c r="E637" s="1269"/>
      <c r="F637" s="1270"/>
    </row>
    <row r="638" spans="1:6" ht="17.100000000000001" customHeight="1">
      <c r="A638" s="901"/>
      <c r="B638" s="883"/>
      <c r="C638" s="460"/>
      <c r="D638" s="1370" t="s">
        <v>226</v>
      </c>
      <c r="E638" s="1371"/>
      <c r="F638" s="347">
        <f>SUM(F639:F658)</f>
        <v>8777685</v>
      </c>
    </row>
    <row r="639" spans="1:6" ht="17.100000000000001" customHeight="1">
      <c r="A639" s="901"/>
      <c r="B639" s="883"/>
      <c r="C639" s="462"/>
      <c r="D639" s="352" t="s">
        <v>227</v>
      </c>
      <c r="E639" s="356" t="s">
        <v>228</v>
      </c>
      <c r="F639" s="347">
        <f>550000</f>
        <v>550000</v>
      </c>
    </row>
    <row r="640" spans="1:6" ht="17.100000000000001" customHeight="1">
      <c r="A640" s="901"/>
      <c r="B640" s="883"/>
      <c r="C640" s="462"/>
      <c r="D640" s="472" t="s">
        <v>229</v>
      </c>
      <c r="E640" s="346" t="s">
        <v>230</v>
      </c>
      <c r="F640" s="347">
        <f>25000+2600000</f>
        <v>2625000</v>
      </c>
    </row>
    <row r="641" spans="1:6" ht="17.100000000000001" customHeight="1">
      <c r="A641" s="901"/>
      <c r="B641" s="883"/>
      <c r="C641" s="462"/>
      <c r="D641" s="472" t="s">
        <v>231</v>
      </c>
      <c r="E641" s="346" t="s">
        <v>232</v>
      </c>
      <c r="F641" s="347">
        <f>1078200</f>
        <v>1078200</v>
      </c>
    </row>
    <row r="642" spans="1:6" ht="17.100000000000001" customHeight="1">
      <c r="A642" s="901"/>
      <c r="B642" s="883"/>
      <c r="C642" s="462"/>
      <c r="D642" s="472" t="s">
        <v>233</v>
      </c>
      <c r="E642" s="346" t="s">
        <v>234</v>
      </c>
      <c r="F642" s="347">
        <f>245250</f>
        <v>245250</v>
      </c>
    </row>
    <row r="643" spans="1:6" ht="17.100000000000001" customHeight="1">
      <c r="A643" s="901"/>
      <c r="B643" s="883"/>
      <c r="C643" s="462"/>
      <c r="D643" s="472" t="s">
        <v>235</v>
      </c>
      <c r="E643" s="346" t="s">
        <v>236</v>
      </c>
      <c r="F643" s="347">
        <f>54000</f>
        <v>54000</v>
      </c>
    </row>
    <row r="644" spans="1:6" ht="17.100000000000001" customHeight="1">
      <c r="A644" s="901"/>
      <c r="B644" s="883"/>
      <c r="C644" s="462"/>
      <c r="D644" s="472" t="s">
        <v>237</v>
      </c>
      <c r="E644" s="346" t="s">
        <v>238</v>
      </c>
      <c r="F644" s="347">
        <f>35000+1787400</f>
        <v>1822400</v>
      </c>
    </row>
    <row r="645" spans="1:6" ht="17.100000000000001" customHeight="1">
      <c r="A645" s="901"/>
      <c r="B645" s="883"/>
      <c r="C645" s="462"/>
      <c r="D645" s="472" t="s">
        <v>239</v>
      </c>
      <c r="E645" s="346" t="s">
        <v>240</v>
      </c>
      <c r="F645" s="347">
        <f>99000</f>
        <v>99000</v>
      </c>
    </row>
    <row r="646" spans="1:6" ht="30" customHeight="1">
      <c r="A646" s="901"/>
      <c r="B646" s="883"/>
      <c r="C646" s="462"/>
      <c r="D646" s="472" t="s">
        <v>241</v>
      </c>
      <c r="E646" s="346" t="s">
        <v>242</v>
      </c>
      <c r="F646" s="347">
        <f>100000</f>
        <v>100000</v>
      </c>
    </row>
    <row r="647" spans="1:6" ht="27" customHeight="1">
      <c r="A647" s="901"/>
      <c r="B647" s="883"/>
      <c r="C647" s="462"/>
      <c r="D647" s="472" t="s">
        <v>243</v>
      </c>
      <c r="E647" s="346" t="s">
        <v>244</v>
      </c>
      <c r="F647" s="347">
        <f>45000</f>
        <v>45000</v>
      </c>
    </row>
    <row r="648" spans="1:6" ht="17.100000000000001" customHeight="1">
      <c r="A648" s="901"/>
      <c r="B648" s="883"/>
      <c r="C648" s="462"/>
      <c r="D648" s="472" t="s">
        <v>441</v>
      </c>
      <c r="E648" s="346" t="s">
        <v>442</v>
      </c>
      <c r="F648" s="347">
        <f>9000</f>
        <v>9000</v>
      </c>
    </row>
    <row r="649" spans="1:6" ht="17.100000000000001" customHeight="1">
      <c r="A649" s="901"/>
      <c r="B649" s="883"/>
      <c r="C649" s="462"/>
      <c r="D649" s="472" t="s">
        <v>245</v>
      </c>
      <c r="E649" s="346" t="s">
        <v>246</v>
      </c>
      <c r="F649" s="347">
        <f>54000</f>
        <v>54000</v>
      </c>
    </row>
    <row r="650" spans="1:6" ht="17.100000000000001" customHeight="1">
      <c r="A650" s="901"/>
      <c r="B650" s="883"/>
      <c r="C650" s="462"/>
      <c r="D650" s="472" t="s">
        <v>247</v>
      </c>
      <c r="E650" s="346" t="s">
        <v>248</v>
      </c>
      <c r="F650" s="347">
        <f>54000</f>
        <v>54000</v>
      </c>
    </row>
    <row r="651" spans="1:6" ht="17.100000000000001" customHeight="1">
      <c r="A651" s="901"/>
      <c r="B651" s="883"/>
      <c r="C651" s="462"/>
      <c r="D651" s="472" t="s">
        <v>249</v>
      </c>
      <c r="E651" s="346" t="s">
        <v>250</v>
      </c>
      <c r="F651" s="347">
        <f>211354</f>
        <v>211354</v>
      </c>
    </row>
    <row r="652" spans="1:6" ht="17.100000000000001" customHeight="1">
      <c r="A652" s="901"/>
      <c r="B652" s="883"/>
      <c r="C652" s="462"/>
      <c r="D652" s="472" t="s">
        <v>311</v>
      </c>
      <c r="E652" s="346" t="s">
        <v>312</v>
      </c>
      <c r="F652" s="347">
        <f>301105</f>
        <v>301105</v>
      </c>
    </row>
    <row r="653" spans="1:6" ht="17.100000000000001" customHeight="1">
      <c r="A653" s="901"/>
      <c r="B653" s="883"/>
      <c r="C653" s="462"/>
      <c r="D653" s="472" t="s">
        <v>251</v>
      </c>
      <c r="E653" s="346" t="s">
        <v>252</v>
      </c>
      <c r="F653" s="347">
        <f>121500</f>
        <v>121500</v>
      </c>
    </row>
    <row r="654" spans="1:6" ht="17.100000000000001" customHeight="1">
      <c r="A654" s="901"/>
      <c r="B654" s="883"/>
      <c r="C654" s="462"/>
      <c r="D654" s="472" t="s">
        <v>253</v>
      </c>
      <c r="E654" s="346" t="s">
        <v>254</v>
      </c>
      <c r="F654" s="347">
        <f>1095376</f>
        <v>1095376</v>
      </c>
    </row>
    <row r="655" spans="1:6" ht="17.100000000000001" customHeight="1">
      <c r="A655" s="901"/>
      <c r="B655" s="883"/>
      <c r="C655" s="462"/>
      <c r="D655" s="472" t="s">
        <v>257</v>
      </c>
      <c r="E655" s="346" t="s">
        <v>258</v>
      </c>
      <c r="F655" s="347">
        <f>9000</f>
        <v>9000</v>
      </c>
    </row>
    <row r="656" spans="1:6" ht="17.100000000000001" customHeight="1">
      <c r="A656" s="901"/>
      <c r="B656" s="883"/>
      <c r="C656" s="462"/>
      <c r="D656" s="472" t="s">
        <v>259</v>
      </c>
      <c r="E656" s="346" t="s">
        <v>260</v>
      </c>
      <c r="F656" s="347">
        <f>58500</f>
        <v>58500</v>
      </c>
    </row>
    <row r="657" spans="1:6" ht="17.100000000000001" customHeight="1">
      <c r="A657" s="901"/>
      <c r="B657" s="883"/>
      <c r="C657" s="462"/>
      <c r="D657" s="472" t="s">
        <v>335</v>
      </c>
      <c r="E657" s="346" t="s">
        <v>336</v>
      </c>
      <c r="F657" s="347">
        <f>45000</f>
        <v>45000</v>
      </c>
    </row>
    <row r="658" spans="1:6" ht="17.100000000000001" customHeight="1">
      <c r="A658" s="901"/>
      <c r="B658" s="883"/>
      <c r="C658" s="462"/>
      <c r="D658" s="472" t="s">
        <v>261</v>
      </c>
      <c r="E658" s="346" t="s">
        <v>262</v>
      </c>
      <c r="F658" s="347">
        <f>200000</f>
        <v>200000</v>
      </c>
    </row>
    <row r="659" spans="1:6" ht="17.100000000000001" customHeight="1">
      <c r="A659" s="901"/>
      <c r="B659" s="883"/>
      <c r="C659" s="462"/>
      <c r="D659" s="1267"/>
      <c r="E659" s="1269"/>
      <c r="F659" s="1270"/>
    </row>
    <row r="660" spans="1:6" ht="17.100000000000001" customHeight="1">
      <c r="A660" s="901"/>
      <c r="B660" s="883"/>
      <c r="C660" s="462"/>
      <c r="D660" s="1290" t="s">
        <v>263</v>
      </c>
      <c r="E660" s="1291"/>
      <c r="F660" s="347">
        <f>F661</f>
        <v>70000</v>
      </c>
    </row>
    <row r="661" spans="1:6" ht="17.100000000000001" customHeight="1">
      <c r="A661" s="901"/>
      <c r="B661" s="883"/>
      <c r="C661" s="462"/>
      <c r="D661" s="352" t="s">
        <v>264</v>
      </c>
      <c r="E661" s="356" t="s">
        <v>265</v>
      </c>
      <c r="F661" s="377">
        <f>70000</f>
        <v>70000</v>
      </c>
    </row>
    <row r="662" spans="1:6" ht="17.100000000000001" customHeight="1">
      <c r="A662" s="901"/>
      <c r="B662" s="883"/>
      <c r="C662" s="462"/>
      <c r="D662" s="1267"/>
      <c r="E662" s="1269"/>
      <c r="F662" s="1270"/>
    </row>
    <row r="663" spans="1:6" ht="17.100000000000001" customHeight="1">
      <c r="A663" s="901"/>
      <c r="B663" s="883"/>
      <c r="C663" s="462"/>
      <c r="D663" s="1286" t="s">
        <v>343</v>
      </c>
      <c r="E663" s="1294"/>
      <c r="F663" s="347">
        <f>SUM(F664:F700)</f>
        <v>34756072</v>
      </c>
    </row>
    <row r="664" spans="1:6" ht="17.100000000000001" hidden="1" customHeight="1">
      <c r="A664" s="901"/>
      <c r="B664" s="1267"/>
      <c r="C664" s="1268"/>
      <c r="D664" s="472" t="s">
        <v>443</v>
      </c>
      <c r="E664" s="346" t="s">
        <v>444</v>
      </c>
      <c r="F664" s="347"/>
    </row>
    <row r="665" spans="1:6" ht="17.100000000000001" customHeight="1">
      <c r="A665" s="901"/>
      <c r="B665" s="1267"/>
      <c r="C665" s="1268"/>
      <c r="D665" s="472" t="s">
        <v>291</v>
      </c>
      <c r="E665" s="346" t="s">
        <v>217</v>
      </c>
      <c r="F665" s="347">
        <f>10444727+6546161+892653</f>
        <v>17883541</v>
      </c>
    </row>
    <row r="666" spans="1:6" ht="17.100000000000001" customHeight="1">
      <c r="A666" s="901"/>
      <c r="B666" s="1267"/>
      <c r="C666" s="1268"/>
      <c r="D666" s="472" t="s">
        <v>292</v>
      </c>
      <c r="E666" s="346" t="s">
        <v>217</v>
      </c>
      <c r="F666" s="347">
        <f>1843187+157527</f>
        <v>2000714</v>
      </c>
    </row>
    <row r="667" spans="1:6" ht="17.100000000000001" customHeight="1">
      <c r="A667" s="901"/>
      <c r="B667" s="1267"/>
      <c r="C667" s="1268"/>
      <c r="D667" s="472" t="s">
        <v>293</v>
      </c>
      <c r="E667" s="346" t="s">
        <v>219</v>
      </c>
      <c r="F667" s="347">
        <f>1000982+46750</f>
        <v>1047732</v>
      </c>
    </row>
    <row r="668" spans="1:6" ht="17.100000000000001" customHeight="1">
      <c r="A668" s="901"/>
      <c r="B668" s="1267"/>
      <c r="C668" s="1268"/>
      <c r="D668" s="472" t="s">
        <v>294</v>
      </c>
      <c r="E668" s="346" t="s">
        <v>219</v>
      </c>
      <c r="F668" s="347">
        <f>8250</f>
        <v>8250</v>
      </c>
    </row>
    <row r="669" spans="1:6" ht="17.100000000000001" customHeight="1">
      <c r="A669" s="901"/>
      <c r="B669" s="1267"/>
      <c r="C669" s="1268"/>
      <c r="D669" s="472" t="s">
        <v>295</v>
      </c>
      <c r="E669" s="346" t="s">
        <v>221</v>
      </c>
      <c r="F669" s="347">
        <f>9050+4000+1949581+1297353+121340</f>
        <v>3381324</v>
      </c>
    </row>
    <row r="670" spans="1:6" ht="17.100000000000001" customHeight="1">
      <c r="A670" s="901"/>
      <c r="B670" s="1267"/>
      <c r="C670" s="1268"/>
      <c r="D670" s="472" t="s">
        <v>296</v>
      </c>
      <c r="E670" s="346" t="s">
        <v>221</v>
      </c>
      <c r="F670" s="347">
        <f>344044+21060</f>
        <v>365104</v>
      </c>
    </row>
    <row r="671" spans="1:6" ht="17.100000000000001" customHeight="1">
      <c r="A671" s="901"/>
      <c r="B671" s="1267"/>
      <c r="C671" s="1268"/>
      <c r="D671" s="472" t="s">
        <v>297</v>
      </c>
      <c r="E671" s="346" t="s">
        <v>223</v>
      </c>
      <c r="F671" s="347">
        <f>1300+1000+277872+184904+19992</f>
        <v>485068</v>
      </c>
    </row>
    <row r="672" spans="1:6" ht="17.100000000000001" customHeight="1">
      <c r="A672" s="901"/>
      <c r="B672" s="1267"/>
      <c r="C672" s="1268"/>
      <c r="D672" s="472" t="s">
        <v>298</v>
      </c>
      <c r="E672" s="346" t="s">
        <v>223</v>
      </c>
      <c r="F672" s="347">
        <f>49036+3528</f>
        <v>52564</v>
      </c>
    </row>
    <row r="673" spans="1:6" ht="17.100000000000001" customHeight="1">
      <c r="A673" s="901"/>
      <c r="B673" s="1267"/>
      <c r="C673" s="1268"/>
      <c r="D673" s="472" t="s">
        <v>299</v>
      </c>
      <c r="E673" s="346" t="s">
        <v>225</v>
      </c>
      <c r="F673" s="347">
        <f>224650+80000+2779370+28000</f>
        <v>3112020</v>
      </c>
    </row>
    <row r="674" spans="1:6" ht="17.100000000000001" customHeight="1">
      <c r="A674" s="901"/>
      <c r="B674" s="883"/>
      <c r="C674" s="462"/>
      <c r="D674" s="472" t="s">
        <v>300</v>
      </c>
      <c r="E674" s="346" t="s">
        <v>225</v>
      </c>
      <c r="F674" s="347">
        <f>490477</f>
        <v>490477</v>
      </c>
    </row>
    <row r="675" spans="1:6" ht="17.100000000000001" customHeight="1">
      <c r="A675" s="901"/>
      <c r="B675" s="1267"/>
      <c r="C675" s="1268"/>
      <c r="D675" s="472" t="s">
        <v>301</v>
      </c>
      <c r="E675" s="346" t="s">
        <v>230</v>
      </c>
      <c r="F675" s="347">
        <f>4000+257462+207554</f>
        <v>469016</v>
      </c>
    </row>
    <row r="676" spans="1:6" ht="17.100000000000001" customHeight="1">
      <c r="A676" s="901"/>
      <c r="B676" s="1267"/>
      <c r="C676" s="1268"/>
      <c r="D676" s="472" t="s">
        <v>302</v>
      </c>
      <c r="E676" s="346" t="s">
        <v>230</v>
      </c>
      <c r="F676" s="347">
        <f>45434+23286</f>
        <v>68720</v>
      </c>
    </row>
    <row r="677" spans="1:6" ht="17.100000000000001" customHeight="1">
      <c r="A677" s="901"/>
      <c r="B677" s="1267"/>
      <c r="C677" s="1268"/>
      <c r="D677" s="472" t="s">
        <v>445</v>
      </c>
      <c r="E677" s="346" t="s">
        <v>232</v>
      </c>
      <c r="F677" s="347">
        <f>129270</f>
        <v>129270</v>
      </c>
    </row>
    <row r="678" spans="1:6" ht="17.100000000000001" customHeight="1">
      <c r="A678" s="901"/>
      <c r="B678" s="883"/>
      <c r="C678" s="462"/>
      <c r="D678" s="472" t="s">
        <v>425</v>
      </c>
      <c r="E678" s="346" t="s">
        <v>232</v>
      </c>
      <c r="F678" s="347">
        <f>22812</f>
        <v>22812</v>
      </c>
    </row>
    <row r="679" spans="1:6" ht="17.100000000000001" customHeight="1">
      <c r="A679" s="901"/>
      <c r="B679" s="1267"/>
      <c r="C679" s="1268"/>
      <c r="D679" s="472" t="s">
        <v>303</v>
      </c>
      <c r="E679" s="346" t="s">
        <v>238</v>
      </c>
      <c r="F679" s="347">
        <f>15000+1000+2445855+947561</f>
        <v>3409416</v>
      </c>
    </row>
    <row r="680" spans="1:6" ht="17.100000000000001" customHeight="1">
      <c r="A680" s="901"/>
      <c r="B680" s="1267"/>
      <c r="C680" s="1268"/>
      <c r="D680" s="472" t="s">
        <v>304</v>
      </c>
      <c r="E680" s="346" t="s">
        <v>238</v>
      </c>
      <c r="F680" s="347">
        <f>431621+64599</f>
        <v>496220</v>
      </c>
    </row>
    <row r="681" spans="1:6" ht="17.100000000000001" customHeight="1">
      <c r="A681" s="901"/>
      <c r="B681" s="1267"/>
      <c r="C681" s="1268"/>
      <c r="D681" s="472" t="s">
        <v>305</v>
      </c>
      <c r="E681" s="346" t="s">
        <v>240</v>
      </c>
      <c r="F681" s="347">
        <f>3400</f>
        <v>3400</v>
      </c>
    </row>
    <row r="682" spans="1:6" ht="17.100000000000001" customHeight="1">
      <c r="A682" s="901"/>
      <c r="B682" s="1267"/>
      <c r="C682" s="1268"/>
      <c r="D682" s="472" t="s">
        <v>306</v>
      </c>
      <c r="E682" s="346" t="s">
        <v>240</v>
      </c>
      <c r="F682" s="347">
        <f>600</f>
        <v>600</v>
      </c>
    </row>
    <row r="683" spans="1:6" ht="26.25" hidden="1" customHeight="1">
      <c r="A683" s="901"/>
      <c r="B683" s="1267"/>
      <c r="C683" s="1268"/>
      <c r="D683" s="472" t="s">
        <v>307</v>
      </c>
      <c r="E683" s="346" t="s">
        <v>242</v>
      </c>
      <c r="F683" s="347"/>
    </row>
    <row r="684" spans="1:6" ht="26.25" customHeight="1">
      <c r="A684" s="901"/>
      <c r="B684" s="1267"/>
      <c r="C684" s="1268"/>
      <c r="D684" s="472" t="s">
        <v>446</v>
      </c>
      <c r="E684" s="346" t="s">
        <v>244</v>
      </c>
      <c r="F684" s="347">
        <f>10200</f>
        <v>10200</v>
      </c>
    </row>
    <row r="685" spans="1:6" ht="25.5" customHeight="1">
      <c r="A685" s="901"/>
      <c r="B685" s="1267"/>
      <c r="C685" s="1268"/>
      <c r="D685" s="472" t="s">
        <v>447</v>
      </c>
      <c r="E685" s="346" t="s">
        <v>244</v>
      </c>
      <c r="F685" s="347">
        <f>1800</f>
        <v>1800</v>
      </c>
    </row>
    <row r="686" spans="1:6" ht="22.5" customHeight="1">
      <c r="A686" s="901"/>
      <c r="B686" s="883"/>
      <c r="C686" s="462"/>
      <c r="D686" s="472" t="s">
        <v>448</v>
      </c>
      <c r="E686" s="346" t="s">
        <v>442</v>
      </c>
      <c r="F686" s="347">
        <f>45603+3500</f>
        <v>49103</v>
      </c>
    </row>
    <row r="687" spans="1:6" ht="22.5" customHeight="1">
      <c r="A687" s="901"/>
      <c r="B687" s="883"/>
      <c r="C687" s="462"/>
      <c r="D687" s="472" t="s">
        <v>449</v>
      </c>
      <c r="E687" s="346" t="s">
        <v>442</v>
      </c>
      <c r="F687" s="347">
        <f>8048</f>
        <v>8048</v>
      </c>
    </row>
    <row r="688" spans="1:6" ht="17.100000000000001" customHeight="1">
      <c r="A688" s="901"/>
      <c r="B688" s="1267"/>
      <c r="C688" s="1268"/>
      <c r="D688" s="472" t="s">
        <v>450</v>
      </c>
      <c r="E688" s="346" t="s">
        <v>246</v>
      </c>
      <c r="F688" s="347">
        <f>50000+10000+295884+230000</f>
        <v>585884</v>
      </c>
    </row>
    <row r="689" spans="1:6" ht="17.100000000000001" customHeight="1">
      <c r="A689" s="901"/>
      <c r="B689" s="883"/>
      <c r="C689" s="462"/>
      <c r="D689" s="472" t="s">
        <v>368</v>
      </c>
      <c r="E689" s="346" t="s">
        <v>246</v>
      </c>
      <c r="F689" s="347">
        <f>52215</f>
        <v>52215</v>
      </c>
    </row>
    <row r="690" spans="1:6" ht="21.75" customHeight="1">
      <c r="A690" s="901"/>
      <c r="B690" s="1267"/>
      <c r="C690" s="1268"/>
      <c r="D690" s="472" t="s">
        <v>451</v>
      </c>
      <c r="E690" s="346" t="s">
        <v>248</v>
      </c>
      <c r="F690" s="347">
        <f>20400</f>
        <v>20400</v>
      </c>
    </row>
    <row r="691" spans="1:6" ht="20.100000000000001" customHeight="1">
      <c r="A691" s="901"/>
      <c r="B691" s="1267"/>
      <c r="C691" s="1268"/>
      <c r="D691" s="472" t="s">
        <v>452</v>
      </c>
      <c r="E691" s="346" t="s">
        <v>248</v>
      </c>
      <c r="F691" s="347">
        <f>3600</f>
        <v>3600</v>
      </c>
    </row>
    <row r="692" spans="1:6" ht="17.100000000000001" customHeight="1">
      <c r="A692" s="901"/>
      <c r="B692" s="1267"/>
      <c r="C692" s="1268"/>
      <c r="D692" s="472" t="s">
        <v>309</v>
      </c>
      <c r="E692" s="346" t="s">
        <v>250</v>
      </c>
      <c r="F692" s="347">
        <f>93361+21250</f>
        <v>114611</v>
      </c>
    </row>
    <row r="693" spans="1:6" ht="17.100000000000001" customHeight="1">
      <c r="A693" s="901"/>
      <c r="B693" s="1267"/>
      <c r="C693" s="1268"/>
      <c r="D693" s="472" t="s">
        <v>310</v>
      </c>
      <c r="E693" s="346" t="s">
        <v>250</v>
      </c>
      <c r="F693" s="347">
        <f>16476+3750</f>
        <v>20226</v>
      </c>
    </row>
    <row r="694" spans="1:6" ht="17.100000000000001" customHeight="1">
      <c r="A694" s="901"/>
      <c r="B694" s="1267"/>
      <c r="C694" s="1268"/>
      <c r="D694" s="472" t="s">
        <v>313</v>
      </c>
      <c r="E694" s="346" t="s">
        <v>312</v>
      </c>
      <c r="F694" s="347">
        <f>32317</f>
        <v>32317</v>
      </c>
    </row>
    <row r="695" spans="1:6" ht="17.100000000000001" customHeight="1">
      <c r="A695" s="901"/>
      <c r="B695" s="883"/>
      <c r="C695" s="462"/>
      <c r="D695" s="472" t="s">
        <v>314</v>
      </c>
      <c r="E695" s="346" t="s">
        <v>312</v>
      </c>
      <c r="F695" s="347">
        <f>5703</f>
        <v>5703</v>
      </c>
    </row>
    <row r="696" spans="1:6" ht="17.100000000000001" customHeight="1">
      <c r="A696" s="901"/>
      <c r="B696" s="883"/>
      <c r="C696" s="462"/>
      <c r="D696" s="472" t="s">
        <v>453</v>
      </c>
      <c r="E696" s="346" t="s">
        <v>260</v>
      </c>
      <c r="F696" s="347">
        <f>7183</f>
        <v>7183</v>
      </c>
    </row>
    <row r="697" spans="1:6" ht="17.100000000000001" customHeight="1">
      <c r="A697" s="901"/>
      <c r="B697" s="883"/>
      <c r="C697" s="462"/>
      <c r="D697" s="472" t="s">
        <v>454</v>
      </c>
      <c r="E697" s="346" t="s">
        <v>260</v>
      </c>
      <c r="F697" s="347">
        <f>1268</f>
        <v>1268</v>
      </c>
    </row>
    <row r="698" spans="1:6" ht="17.100000000000001" customHeight="1">
      <c r="A698" s="901"/>
      <c r="B698" s="883"/>
      <c r="C698" s="462"/>
      <c r="D698" s="472" t="s">
        <v>455</v>
      </c>
      <c r="E698" s="346" t="s">
        <v>336</v>
      </c>
      <c r="F698" s="347">
        <f>50000</f>
        <v>50000</v>
      </c>
    </row>
    <row r="699" spans="1:6" ht="17.100000000000001" customHeight="1">
      <c r="A699" s="901"/>
      <c r="B699" s="1267"/>
      <c r="C699" s="1268"/>
      <c r="D699" s="472" t="s">
        <v>317</v>
      </c>
      <c r="E699" s="346" t="s">
        <v>262</v>
      </c>
      <c r="F699" s="347">
        <f>244176+68000</f>
        <v>312176</v>
      </c>
    </row>
    <row r="700" spans="1:6" ht="17.100000000000001" customHeight="1">
      <c r="A700" s="901"/>
      <c r="B700" s="1267"/>
      <c r="C700" s="1268"/>
      <c r="D700" s="472" t="s">
        <v>318</v>
      </c>
      <c r="E700" s="346" t="s">
        <v>262</v>
      </c>
      <c r="F700" s="347">
        <f>43090+12000</f>
        <v>55090</v>
      </c>
    </row>
    <row r="701" spans="1:6" ht="17.100000000000001" customHeight="1">
      <c r="A701" s="901"/>
      <c r="B701" s="883"/>
      <c r="C701" s="462"/>
      <c r="D701" s="1267"/>
      <c r="E701" s="1269"/>
      <c r="F701" s="1270"/>
    </row>
    <row r="702" spans="1:6" ht="17.100000000000001" customHeight="1">
      <c r="A702" s="901"/>
      <c r="B702" s="883"/>
      <c r="C702" s="462"/>
      <c r="D702" s="1296" t="s">
        <v>281</v>
      </c>
      <c r="E702" s="1297"/>
      <c r="F702" s="343">
        <f>F703</f>
        <v>8176431</v>
      </c>
    </row>
    <row r="703" spans="1:6" ht="17.100000000000001" customHeight="1">
      <c r="A703" s="901"/>
      <c r="B703" s="883"/>
      <c r="C703" s="462"/>
      <c r="D703" s="1290" t="s">
        <v>905</v>
      </c>
      <c r="E703" s="1291"/>
      <c r="F703" s="347">
        <f>SUM(F704:F708)</f>
        <v>8176431</v>
      </c>
    </row>
    <row r="704" spans="1:6" ht="17.100000000000001" customHeight="1">
      <c r="A704" s="901"/>
      <c r="B704" s="1267"/>
      <c r="C704" s="1268"/>
      <c r="D704" s="472" t="s">
        <v>268</v>
      </c>
      <c r="E704" s="346" t="s">
        <v>269</v>
      </c>
      <c r="F704" s="347">
        <f>5820000</f>
        <v>5820000</v>
      </c>
    </row>
    <row r="705" spans="1:7" ht="17.100000000000001" hidden="1" customHeight="1">
      <c r="A705" s="901"/>
      <c r="B705" s="883"/>
      <c r="C705" s="462"/>
      <c r="D705" s="472" t="s">
        <v>283</v>
      </c>
      <c r="E705" s="346" t="s">
        <v>269</v>
      </c>
      <c r="F705" s="347"/>
      <c r="G705" s="363"/>
    </row>
    <row r="706" spans="1:7" ht="17.100000000000001" customHeight="1">
      <c r="A706" s="901"/>
      <c r="B706" s="1267"/>
      <c r="C706" s="1268"/>
      <c r="D706" s="472" t="s">
        <v>270</v>
      </c>
      <c r="E706" s="346" t="s">
        <v>271</v>
      </c>
      <c r="F706" s="347">
        <f>1765000</f>
        <v>1765000</v>
      </c>
    </row>
    <row r="707" spans="1:7" ht="17.100000000000001" customHeight="1">
      <c r="A707" s="901"/>
      <c r="B707" s="1267"/>
      <c r="C707" s="1268"/>
      <c r="D707" s="472" t="s">
        <v>319</v>
      </c>
      <c r="E707" s="346" t="s">
        <v>271</v>
      </c>
      <c r="F707" s="347">
        <f>502716</f>
        <v>502716</v>
      </c>
    </row>
    <row r="708" spans="1:7" ht="17.100000000000001" customHeight="1">
      <c r="A708" s="901"/>
      <c r="B708" s="1267"/>
      <c r="C708" s="1268"/>
      <c r="D708" s="472" t="s">
        <v>320</v>
      </c>
      <c r="E708" s="346" t="s">
        <v>271</v>
      </c>
      <c r="F708" s="347">
        <f>88715</f>
        <v>88715</v>
      </c>
    </row>
    <row r="709" spans="1:7" ht="17.100000000000001" customHeight="1">
      <c r="A709" s="901"/>
      <c r="B709" s="1319"/>
      <c r="C709" s="1363"/>
      <c r="D709" s="1267"/>
      <c r="E709" s="1323"/>
      <c r="F709" s="1324"/>
    </row>
    <row r="710" spans="1:7" ht="17.100000000000001" customHeight="1">
      <c r="A710" s="901"/>
      <c r="B710" s="1319"/>
      <c r="C710" s="1363"/>
      <c r="D710" s="1292" t="s">
        <v>284</v>
      </c>
      <c r="E710" s="1307"/>
      <c r="F710" s="347">
        <f>F711+F712</f>
        <v>591431</v>
      </c>
    </row>
    <row r="711" spans="1:7" ht="17.100000000000001" customHeight="1">
      <c r="A711" s="901"/>
      <c r="B711" s="1319"/>
      <c r="C711" s="1363"/>
      <c r="D711" s="400" t="s">
        <v>319</v>
      </c>
      <c r="E711" s="361" t="s">
        <v>271</v>
      </c>
      <c r="F711" s="347">
        <f>502716</f>
        <v>502716</v>
      </c>
    </row>
    <row r="712" spans="1:7" ht="17.100000000000001" customHeight="1">
      <c r="A712" s="901"/>
      <c r="B712" s="1321"/>
      <c r="C712" s="1343"/>
      <c r="D712" s="472" t="s">
        <v>320</v>
      </c>
      <c r="E712" s="346" t="s">
        <v>271</v>
      </c>
      <c r="F712" s="347">
        <f>88715</f>
        <v>88715</v>
      </c>
    </row>
    <row r="713" spans="1:7" ht="17.100000000000001" customHeight="1">
      <c r="A713" s="901"/>
      <c r="B713" s="1278" t="s">
        <v>456</v>
      </c>
      <c r="C713" s="1279"/>
      <c r="D713" s="340"/>
      <c r="E713" s="341" t="s">
        <v>457</v>
      </c>
      <c r="F713" s="342">
        <f>F714</f>
        <v>20000</v>
      </c>
    </row>
    <row r="714" spans="1:7" ht="17.100000000000001" customHeight="1">
      <c r="A714" s="901"/>
      <c r="B714" s="1280"/>
      <c r="C714" s="1281"/>
      <c r="D714" s="1284" t="s">
        <v>440</v>
      </c>
      <c r="E714" s="1285"/>
      <c r="F714" s="343">
        <f>F715</f>
        <v>20000</v>
      </c>
    </row>
    <row r="715" spans="1:7" ht="17.100000000000001" customHeight="1">
      <c r="A715" s="901"/>
      <c r="B715" s="1282"/>
      <c r="C715" s="1283"/>
      <c r="D715" s="1286" t="s">
        <v>214</v>
      </c>
      <c r="E715" s="1294"/>
      <c r="F715" s="347">
        <f>F716+F721</f>
        <v>20000</v>
      </c>
    </row>
    <row r="716" spans="1:7" ht="17.100000000000001" customHeight="1">
      <c r="A716" s="901"/>
      <c r="B716" s="1282"/>
      <c r="C716" s="1283"/>
      <c r="D716" s="1288" t="s">
        <v>215</v>
      </c>
      <c r="E716" s="1295"/>
      <c r="F716" s="347">
        <f>SUM(F717:F719)</f>
        <v>10000</v>
      </c>
    </row>
    <row r="717" spans="1:7" ht="17.100000000000001" customHeight="1">
      <c r="A717" s="901"/>
      <c r="B717" s="1282"/>
      <c r="C717" s="1283"/>
      <c r="D717" s="472" t="s">
        <v>220</v>
      </c>
      <c r="E717" s="346" t="s">
        <v>221</v>
      </c>
      <c r="F717" s="347">
        <f>700</f>
        <v>700</v>
      </c>
    </row>
    <row r="718" spans="1:7" ht="17.100000000000001" customHeight="1">
      <c r="A718" s="901"/>
      <c r="B718" s="1282"/>
      <c r="C718" s="1283"/>
      <c r="D718" s="472" t="s">
        <v>222</v>
      </c>
      <c r="E718" s="346" t="s">
        <v>223</v>
      </c>
      <c r="F718" s="347">
        <f>150</f>
        <v>150</v>
      </c>
    </row>
    <row r="719" spans="1:7" ht="17.100000000000001" customHeight="1">
      <c r="A719" s="901"/>
      <c r="B719" s="1267"/>
      <c r="C719" s="1268"/>
      <c r="D719" s="472" t="s">
        <v>224</v>
      </c>
      <c r="E719" s="346" t="s">
        <v>225</v>
      </c>
      <c r="F719" s="347">
        <f>9150</f>
        <v>9150</v>
      </c>
    </row>
    <row r="720" spans="1:7" ht="17.100000000000001" customHeight="1">
      <c r="A720" s="901"/>
      <c r="B720" s="883"/>
      <c r="C720" s="462"/>
      <c r="D720" s="1267"/>
      <c r="E720" s="1269"/>
      <c r="F720" s="1270"/>
    </row>
    <row r="721" spans="1:6" ht="17.100000000000001" customHeight="1">
      <c r="A721" s="901"/>
      <c r="B721" s="883"/>
      <c r="C721" s="462"/>
      <c r="D721" s="1292" t="s">
        <v>226</v>
      </c>
      <c r="E721" s="1293"/>
      <c r="F721" s="347">
        <f>SUM(F722:F723)</f>
        <v>10000</v>
      </c>
    </row>
    <row r="722" spans="1:6" ht="17.100000000000001" customHeight="1">
      <c r="A722" s="901"/>
      <c r="B722" s="1267"/>
      <c r="C722" s="1268"/>
      <c r="D722" s="472" t="s">
        <v>229</v>
      </c>
      <c r="E722" s="346" t="s">
        <v>230</v>
      </c>
      <c r="F722" s="347">
        <f>1500</f>
        <v>1500</v>
      </c>
    </row>
    <row r="723" spans="1:6" ht="17.100000000000001" customHeight="1">
      <c r="A723" s="901"/>
      <c r="B723" s="1299"/>
      <c r="C723" s="1300"/>
      <c r="D723" s="472" t="s">
        <v>237</v>
      </c>
      <c r="E723" s="346" t="s">
        <v>238</v>
      </c>
      <c r="F723" s="347">
        <f>8500</f>
        <v>8500</v>
      </c>
    </row>
    <row r="724" spans="1:6" ht="17.100000000000001" customHeight="1">
      <c r="A724" s="901"/>
      <c r="B724" s="1278" t="s">
        <v>458</v>
      </c>
      <c r="C724" s="1279"/>
      <c r="D724" s="340"/>
      <c r="E724" s="341" t="s">
        <v>459</v>
      </c>
      <c r="F724" s="342">
        <f>F725</f>
        <v>15500</v>
      </c>
    </row>
    <row r="725" spans="1:6" ht="17.100000000000001" customHeight="1">
      <c r="A725" s="901"/>
      <c r="B725" s="1282"/>
      <c r="C725" s="1283"/>
      <c r="D725" s="1284" t="s">
        <v>213</v>
      </c>
      <c r="E725" s="1285"/>
      <c r="F725" s="343">
        <f>F726</f>
        <v>15500</v>
      </c>
    </row>
    <row r="726" spans="1:6" ht="17.100000000000001" customHeight="1">
      <c r="A726" s="901"/>
      <c r="B726" s="1282"/>
      <c r="C726" s="1283"/>
      <c r="D726" s="1286" t="s">
        <v>343</v>
      </c>
      <c r="E726" s="1294"/>
      <c r="F726" s="347">
        <f>SUM(F727:F754)</f>
        <v>15500</v>
      </c>
    </row>
    <row r="727" spans="1:6" ht="17.100000000000001" hidden="1" customHeight="1">
      <c r="A727" s="901"/>
      <c r="B727" s="1282"/>
      <c r="C727" s="1283"/>
      <c r="D727" s="472" t="s">
        <v>362</v>
      </c>
      <c r="E727" s="346" t="s">
        <v>217</v>
      </c>
      <c r="F727" s="347"/>
    </row>
    <row r="728" spans="1:6" ht="17.100000000000001" hidden="1" customHeight="1">
      <c r="A728" s="901"/>
      <c r="B728" s="1282"/>
      <c r="C728" s="1283"/>
      <c r="D728" s="472" t="s">
        <v>292</v>
      </c>
      <c r="E728" s="346" t="s">
        <v>217</v>
      </c>
      <c r="F728" s="347"/>
    </row>
    <row r="729" spans="1:6" ht="17.100000000000001" customHeight="1">
      <c r="A729" s="901"/>
      <c r="B729" s="1267"/>
      <c r="C729" s="1268"/>
      <c r="D729" s="472" t="s">
        <v>423</v>
      </c>
      <c r="E729" s="346" t="s">
        <v>219</v>
      </c>
      <c r="F729" s="347">
        <f>11012</f>
        <v>11012</v>
      </c>
    </row>
    <row r="730" spans="1:6" ht="17.100000000000001" customHeight="1">
      <c r="A730" s="901"/>
      <c r="B730" s="1267"/>
      <c r="C730" s="1268"/>
      <c r="D730" s="472" t="s">
        <v>294</v>
      </c>
      <c r="E730" s="346" t="s">
        <v>219</v>
      </c>
      <c r="F730" s="347">
        <f>1944</f>
        <v>1944</v>
      </c>
    </row>
    <row r="731" spans="1:6" ht="17.100000000000001" customHeight="1">
      <c r="A731" s="901"/>
      <c r="B731" s="1267"/>
      <c r="C731" s="1268"/>
      <c r="D731" s="472" t="s">
        <v>363</v>
      </c>
      <c r="E731" s="346" t="s">
        <v>221</v>
      </c>
      <c r="F731" s="347">
        <f>1893</f>
        <v>1893</v>
      </c>
    </row>
    <row r="732" spans="1:6" ht="17.100000000000001" customHeight="1">
      <c r="A732" s="901"/>
      <c r="B732" s="1267"/>
      <c r="C732" s="1268"/>
      <c r="D732" s="472" t="s">
        <v>296</v>
      </c>
      <c r="E732" s="346" t="s">
        <v>221</v>
      </c>
      <c r="F732" s="347">
        <f>334</f>
        <v>334</v>
      </c>
    </row>
    <row r="733" spans="1:6" ht="17.100000000000001" customHeight="1">
      <c r="A733" s="901"/>
      <c r="B733" s="1267"/>
      <c r="C733" s="1268"/>
      <c r="D733" s="472" t="s">
        <v>364</v>
      </c>
      <c r="E733" s="346" t="s">
        <v>223</v>
      </c>
      <c r="F733" s="347">
        <f>270</f>
        <v>270</v>
      </c>
    </row>
    <row r="734" spans="1:6" ht="17.100000000000001" customHeight="1">
      <c r="A734" s="901"/>
      <c r="B734" s="1267"/>
      <c r="C734" s="1268"/>
      <c r="D734" s="472" t="s">
        <v>298</v>
      </c>
      <c r="E734" s="346" t="s">
        <v>223</v>
      </c>
      <c r="F734" s="347">
        <f>47</f>
        <v>47</v>
      </c>
    </row>
    <row r="735" spans="1:6" ht="17.100000000000001" hidden="1" customHeight="1">
      <c r="A735" s="901"/>
      <c r="B735" s="1267"/>
      <c r="C735" s="1268"/>
      <c r="D735" s="472" t="s">
        <v>460</v>
      </c>
      <c r="E735" s="346" t="s">
        <v>225</v>
      </c>
      <c r="F735" s="347"/>
    </row>
    <row r="736" spans="1:6" ht="17.100000000000001" hidden="1" customHeight="1">
      <c r="A736" s="901"/>
      <c r="B736" s="1267"/>
      <c r="C736" s="1268"/>
      <c r="D736" s="472" t="s">
        <v>300</v>
      </c>
      <c r="E736" s="346" t="s">
        <v>225</v>
      </c>
      <c r="F736" s="347"/>
    </row>
    <row r="737" spans="1:6" ht="17.100000000000001" hidden="1" customHeight="1">
      <c r="A737" s="901"/>
      <c r="B737" s="1267"/>
      <c r="C737" s="1268"/>
      <c r="D737" s="472" t="s">
        <v>365</v>
      </c>
      <c r="E737" s="346" t="s">
        <v>230</v>
      </c>
      <c r="F737" s="347"/>
    </row>
    <row r="738" spans="1:6" ht="17.100000000000001" hidden="1" customHeight="1">
      <c r="A738" s="901"/>
      <c r="B738" s="1267"/>
      <c r="C738" s="1268"/>
      <c r="D738" s="472" t="s">
        <v>302</v>
      </c>
      <c r="E738" s="346" t="s">
        <v>230</v>
      </c>
      <c r="F738" s="347"/>
    </row>
    <row r="739" spans="1:6" ht="17.100000000000001" hidden="1" customHeight="1">
      <c r="A739" s="901"/>
      <c r="B739" s="1267"/>
      <c r="C739" s="1268"/>
      <c r="D739" s="472" t="s">
        <v>424</v>
      </c>
      <c r="E739" s="346" t="s">
        <v>232</v>
      </c>
      <c r="F739" s="347"/>
    </row>
    <row r="740" spans="1:6" ht="17.100000000000001" hidden="1" customHeight="1">
      <c r="A740" s="901"/>
      <c r="B740" s="1267"/>
      <c r="C740" s="1268"/>
      <c r="D740" s="472" t="s">
        <v>425</v>
      </c>
      <c r="E740" s="346" t="s">
        <v>232</v>
      </c>
      <c r="F740" s="347"/>
    </row>
    <row r="741" spans="1:6" ht="17.100000000000001" hidden="1" customHeight="1">
      <c r="A741" s="901"/>
      <c r="B741" s="1267"/>
      <c r="C741" s="1268"/>
      <c r="D741" s="472" t="s">
        <v>366</v>
      </c>
      <c r="E741" s="346" t="s">
        <v>238</v>
      </c>
      <c r="F741" s="347"/>
    </row>
    <row r="742" spans="1:6" ht="17.100000000000001" hidden="1" customHeight="1">
      <c r="A742" s="901"/>
      <c r="B742" s="1267"/>
      <c r="C742" s="1268"/>
      <c r="D742" s="472" t="s">
        <v>304</v>
      </c>
      <c r="E742" s="346" t="s">
        <v>238</v>
      </c>
      <c r="F742" s="347"/>
    </row>
    <row r="743" spans="1:6" ht="17.100000000000001" hidden="1" customHeight="1">
      <c r="A743" s="901"/>
      <c r="B743" s="1267"/>
      <c r="C743" s="1268"/>
      <c r="D743" s="472" t="s">
        <v>426</v>
      </c>
      <c r="E743" s="346" t="s">
        <v>240</v>
      </c>
      <c r="F743" s="347"/>
    </row>
    <row r="744" spans="1:6" ht="17.100000000000001" hidden="1" customHeight="1">
      <c r="A744" s="901"/>
      <c r="B744" s="1267"/>
      <c r="C744" s="1268"/>
      <c r="D744" s="472" t="s">
        <v>306</v>
      </c>
      <c r="E744" s="346" t="s">
        <v>240</v>
      </c>
      <c r="F744" s="347"/>
    </row>
    <row r="745" spans="1:6" ht="24.75" hidden="1" customHeight="1">
      <c r="A745" s="901"/>
      <c r="B745" s="1267"/>
      <c r="C745" s="1268"/>
      <c r="D745" s="472" t="s">
        <v>461</v>
      </c>
      <c r="E745" s="346" t="s">
        <v>244</v>
      </c>
      <c r="F745" s="347"/>
    </row>
    <row r="746" spans="1:6" ht="24.75" hidden="1" customHeight="1">
      <c r="A746" s="901"/>
      <c r="B746" s="1267"/>
      <c r="C746" s="1268"/>
      <c r="D746" s="472" t="s">
        <v>447</v>
      </c>
      <c r="E746" s="346" t="s">
        <v>244</v>
      </c>
      <c r="F746" s="347"/>
    </row>
    <row r="747" spans="1:6" ht="17.100000000000001" hidden="1" customHeight="1">
      <c r="A747" s="901"/>
      <c r="B747" s="1267"/>
      <c r="C747" s="1268"/>
      <c r="D747" s="472" t="s">
        <v>367</v>
      </c>
      <c r="E747" s="346" t="s">
        <v>246</v>
      </c>
      <c r="F747" s="347"/>
    </row>
    <row r="748" spans="1:6" ht="17.100000000000001" hidden="1" customHeight="1">
      <c r="A748" s="901"/>
      <c r="B748" s="1267"/>
      <c r="C748" s="1268"/>
      <c r="D748" s="472" t="s">
        <v>368</v>
      </c>
      <c r="E748" s="346" t="s">
        <v>246</v>
      </c>
      <c r="F748" s="347"/>
    </row>
    <row r="749" spans="1:6" ht="20.25" hidden="1" customHeight="1">
      <c r="A749" s="901"/>
      <c r="B749" s="1267"/>
      <c r="C749" s="1268"/>
      <c r="D749" s="472" t="s">
        <v>462</v>
      </c>
      <c r="E749" s="346" t="s">
        <v>248</v>
      </c>
      <c r="F749" s="347"/>
    </row>
    <row r="750" spans="1:6" ht="16.5" hidden="1" customHeight="1">
      <c r="A750" s="901"/>
      <c r="B750" s="1267"/>
      <c r="C750" s="1268"/>
      <c r="D750" s="472" t="s">
        <v>452</v>
      </c>
      <c r="E750" s="346" t="s">
        <v>248</v>
      </c>
      <c r="F750" s="347"/>
    </row>
    <row r="751" spans="1:6" ht="17.100000000000001" hidden="1" customHeight="1">
      <c r="A751" s="901"/>
      <c r="B751" s="1267"/>
      <c r="C751" s="1268"/>
      <c r="D751" s="472" t="s">
        <v>392</v>
      </c>
      <c r="E751" s="346" t="s">
        <v>250</v>
      </c>
      <c r="F751" s="347"/>
    </row>
    <row r="752" spans="1:6" ht="17.100000000000001" hidden="1" customHeight="1">
      <c r="A752" s="901"/>
      <c r="B752" s="1267"/>
      <c r="C752" s="1268"/>
      <c r="D752" s="472" t="s">
        <v>310</v>
      </c>
      <c r="E752" s="346" t="s">
        <v>250</v>
      </c>
      <c r="F752" s="347"/>
    </row>
    <row r="753" spans="1:6" ht="17.100000000000001" hidden="1" customHeight="1">
      <c r="A753" s="901"/>
      <c r="B753" s="1267"/>
      <c r="C753" s="1268"/>
      <c r="D753" s="472" t="s">
        <v>428</v>
      </c>
      <c r="E753" s="346" t="s">
        <v>254</v>
      </c>
      <c r="F753" s="347"/>
    </row>
    <row r="754" spans="1:6" ht="17.100000000000001" hidden="1" customHeight="1">
      <c r="A754" s="901"/>
      <c r="B754" s="1299"/>
      <c r="C754" s="1300"/>
      <c r="D754" s="472" t="s">
        <v>429</v>
      </c>
      <c r="E754" s="346" t="s">
        <v>254</v>
      </c>
      <c r="F754" s="347"/>
    </row>
    <row r="755" spans="1:6" ht="17.100000000000001" customHeight="1">
      <c r="A755" s="901"/>
      <c r="B755" s="1278" t="s">
        <v>3</v>
      </c>
      <c r="C755" s="1279"/>
      <c r="D755" s="340"/>
      <c r="E755" s="341" t="s">
        <v>9</v>
      </c>
      <c r="F755" s="342">
        <f>F756+F773</f>
        <v>12857848</v>
      </c>
    </row>
    <row r="756" spans="1:6" ht="17.100000000000001" customHeight="1">
      <c r="A756" s="901"/>
      <c r="B756" s="1267"/>
      <c r="C756" s="1268"/>
      <c r="D756" s="1284" t="s">
        <v>213</v>
      </c>
      <c r="E756" s="1285"/>
      <c r="F756" s="343">
        <f>F757+F767+F770</f>
        <v>12757848</v>
      </c>
    </row>
    <row r="757" spans="1:6" ht="17.100000000000001" customHeight="1">
      <c r="A757" s="901"/>
      <c r="B757" s="1267"/>
      <c r="C757" s="1268"/>
      <c r="D757" s="1286" t="s">
        <v>214</v>
      </c>
      <c r="E757" s="1294"/>
      <c r="F757" s="347">
        <f>F758+F761</f>
        <v>12457848</v>
      </c>
    </row>
    <row r="758" spans="1:6" ht="17.100000000000001" customHeight="1">
      <c r="A758" s="901"/>
      <c r="B758" s="1267"/>
      <c r="C758" s="1268"/>
      <c r="D758" s="1288" t="s">
        <v>215</v>
      </c>
      <c r="E758" s="1295"/>
      <c r="F758" s="347">
        <f>F759</f>
        <v>20000</v>
      </c>
    </row>
    <row r="759" spans="1:6" ht="17.100000000000001" customHeight="1">
      <c r="A759" s="901"/>
      <c r="B759" s="1267"/>
      <c r="C759" s="1268"/>
      <c r="D759" s="472" t="s">
        <v>224</v>
      </c>
      <c r="E759" s="346" t="s">
        <v>225</v>
      </c>
      <c r="F759" s="347">
        <f>15000+5000</f>
        <v>20000</v>
      </c>
    </row>
    <row r="760" spans="1:6" ht="17.100000000000001" customHeight="1">
      <c r="A760" s="901"/>
      <c r="B760" s="1267"/>
      <c r="C760" s="1268"/>
      <c r="D760" s="1267"/>
      <c r="E760" s="1269"/>
      <c r="F760" s="1270"/>
    </row>
    <row r="761" spans="1:6" ht="17.100000000000001" customHeight="1">
      <c r="A761" s="901"/>
      <c r="B761" s="1267"/>
      <c r="C761" s="1268"/>
      <c r="D761" s="1292" t="s">
        <v>226</v>
      </c>
      <c r="E761" s="1293"/>
      <c r="F761" s="347">
        <f>SUM(F762:F765)</f>
        <v>12437848</v>
      </c>
    </row>
    <row r="762" spans="1:6" ht="17.100000000000001" customHeight="1">
      <c r="A762" s="901"/>
      <c r="B762" s="1267"/>
      <c r="C762" s="1268"/>
      <c r="D762" s="472" t="s">
        <v>229</v>
      </c>
      <c r="E762" s="346" t="s">
        <v>230</v>
      </c>
      <c r="F762" s="347">
        <f>5000+200000+50000+5000</f>
        <v>260000</v>
      </c>
    </row>
    <row r="763" spans="1:6" ht="17.100000000000001" customHeight="1">
      <c r="A763" s="901"/>
      <c r="B763" s="1267"/>
      <c r="C763" s="1268"/>
      <c r="D763" s="472" t="s">
        <v>237</v>
      </c>
      <c r="E763" s="346" t="s">
        <v>238</v>
      </c>
      <c r="F763" s="347">
        <f>5000+11608848+124000+45000+145000</f>
        <v>11927848</v>
      </c>
    </row>
    <row r="764" spans="1:6" ht="17.100000000000001" customHeight="1">
      <c r="A764" s="901"/>
      <c r="B764" s="1267"/>
      <c r="C764" s="1268"/>
      <c r="D764" s="472" t="s">
        <v>441</v>
      </c>
      <c r="E764" s="346" t="s">
        <v>442</v>
      </c>
      <c r="F764" s="347">
        <f>30000</f>
        <v>30000</v>
      </c>
    </row>
    <row r="765" spans="1:6" ht="17.100000000000001" customHeight="1">
      <c r="A765" s="901"/>
      <c r="B765" s="1267"/>
      <c r="C765" s="1268"/>
      <c r="D765" s="352" t="s">
        <v>245</v>
      </c>
      <c r="E765" s="356" t="s">
        <v>246</v>
      </c>
      <c r="F765" s="401">
        <f>220000</f>
        <v>220000</v>
      </c>
    </row>
    <row r="766" spans="1:6" ht="17.100000000000001" customHeight="1">
      <c r="A766" s="901"/>
      <c r="B766" s="1267"/>
      <c r="C766" s="1268"/>
      <c r="D766" s="1267"/>
      <c r="E766" s="1269"/>
      <c r="F766" s="1270"/>
    </row>
    <row r="767" spans="1:6" ht="17.100000000000001" customHeight="1">
      <c r="A767" s="901"/>
      <c r="B767" s="1267"/>
      <c r="C767" s="1268"/>
      <c r="D767" s="1290" t="s">
        <v>286</v>
      </c>
      <c r="E767" s="1291"/>
      <c r="F767" s="347">
        <f>F768</f>
        <v>300000</v>
      </c>
    </row>
    <row r="768" spans="1:6" ht="27" customHeight="1">
      <c r="A768" s="901"/>
      <c r="B768" s="1267"/>
      <c r="C768" s="1268"/>
      <c r="D768" s="472" t="s">
        <v>36</v>
      </c>
      <c r="E768" s="346" t="s">
        <v>463</v>
      </c>
      <c r="F768" s="347">
        <v>300000</v>
      </c>
    </row>
    <row r="769" spans="1:6" ht="17.100000000000001" customHeight="1">
      <c r="A769" s="901"/>
      <c r="B769" s="1267"/>
      <c r="C769" s="1268"/>
      <c r="D769" s="1267"/>
      <c r="E769" s="1269"/>
      <c r="F769" s="1270"/>
    </row>
    <row r="770" spans="1:6" ht="17.100000000000001" hidden="1" customHeight="1">
      <c r="A770" s="901"/>
      <c r="B770" s="1267"/>
      <c r="C770" s="1268"/>
      <c r="D770" s="1286" t="s">
        <v>343</v>
      </c>
      <c r="E770" s="1294"/>
      <c r="F770" s="347">
        <f>SUM(F771:F771)</f>
        <v>0</v>
      </c>
    </row>
    <row r="771" spans="1:6" ht="17.100000000000001" hidden="1" customHeight="1">
      <c r="A771" s="901"/>
      <c r="B771" s="1267"/>
      <c r="C771" s="1269"/>
      <c r="D771" s="351" t="s">
        <v>304</v>
      </c>
      <c r="E771" s="476" t="s">
        <v>238</v>
      </c>
      <c r="F771" s="344"/>
    </row>
    <row r="772" spans="1:6" ht="17.100000000000001" hidden="1" customHeight="1">
      <c r="A772" s="901"/>
      <c r="B772" s="1267"/>
      <c r="C772" s="1269"/>
      <c r="D772" s="1378"/>
      <c r="E772" s="1379"/>
      <c r="F772" s="1380"/>
    </row>
    <row r="773" spans="1:6" ht="17.100000000000001" customHeight="1">
      <c r="A773" s="901"/>
      <c r="B773" s="1267"/>
      <c r="C773" s="1269"/>
      <c r="D773" s="1381" t="s">
        <v>281</v>
      </c>
      <c r="E773" s="1381"/>
      <c r="F773" s="402">
        <f>F774</f>
        <v>100000</v>
      </c>
    </row>
    <row r="774" spans="1:6" ht="17.100000000000001" customHeight="1">
      <c r="A774" s="901"/>
      <c r="B774" s="1267"/>
      <c r="C774" s="1269"/>
      <c r="D774" s="1382" t="s">
        <v>904</v>
      </c>
      <c r="E774" s="1382"/>
      <c r="F774" s="344">
        <f>SUM(F775:F775)</f>
        <v>100000</v>
      </c>
    </row>
    <row r="775" spans="1:6" ht="17.100000000000001" customHeight="1">
      <c r="A775" s="901"/>
      <c r="B775" s="1267"/>
      <c r="C775" s="1268"/>
      <c r="D775" s="472" t="s">
        <v>270</v>
      </c>
      <c r="E775" s="346" t="s">
        <v>271</v>
      </c>
      <c r="F775" s="344">
        <f>100000</f>
        <v>100000</v>
      </c>
    </row>
    <row r="776" spans="1:6" ht="17.100000000000001" hidden="1" customHeight="1">
      <c r="A776" s="901"/>
      <c r="B776" s="467"/>
      <c r="C776" s="378" t="s">
        <v>464</v>
      </c>
      <c r="D776" s="464"/>
      <c r="E776" s="341" t="s">
        <v>465</v>
      </c>
      <c r="F776" s="403">
        <f>F777</f>
        <v>0</v>
      </c>
    </row>
    <row r="777" spans="1:6" ht="17.100000000000001" hidden="1" customHeight="1">
      <c r="A777" s="901"/>
      <c r="B777" s="469"/>
      <c r="C777" s="1374"/>
      <c r="D777" s="1284" t="s">
        <v>213</v>
      </c>
      <c r="E777" s="1285"/>
      <c r="F777" s="404">
        <f>F778</f>
        <v>0</v>
      </c>
    </row>
    <row r="778" spans="1:6" ht="17.100000000000001" hidden="1" customHeight="1">
      <c r="A778" s="901"/>
      <c r="B778" s="469"/>
      <c r="C778" s="1374"/>
      <c r="D778" s="1286" t="s">
        <v>214</v>
      </c>
      <c r="E778" s="1294"/>
      <c r="F778" s="344">
        <f>F779</f>
        <v>0</v>
      </c>
    </row>
    <row r="779" spans="1:6" ht="17.100000000000001" hidden="1" customHeight="1">
      <c r="A779" s="901"/>
      <c r="B779" s="469"/>
      <c r="C779" s="1374"/>
      <c r="D779" s="1292" t="s">
        <v>226</v>
      </c>
      <c r="E779" s="1293"/>
      <c r="F779" s="344">
        <f>F780</f>
        <v>0</v>
      </c>
    </row>
    <row r="780" spans="1:6" ht="17.100000000000001" hidden="1" customHeight="1">
      <c r="A780" s="901"/>
      <c r="B780" s="469"/>
      <c r="C780" s="1374"/>
      <c r="D780" s="472" t="s">
        <v>237</v>
      </c>
      <c r="E780" s="346" t="s">
        <v>238</v>
      </c>
      <c r="F780" s="344"/>
    </row>
    <row r="781" spans="1:6" ht="17.100000000000001" customHeight="1">
      <c r="A781" s="901"/>
      <c r="B781" s="1375" t="s">
        <v>466</v>
      </c>
      <c r="C781" s="1376"/>
      <c r="D781" s="405"/>
      <c r="E781" s="406" t="s">
        <v>332</v>
      </c>
      <c r="F781" s="342">
        <f>F782+F832</f>
        <v>71219453</v>
      </c>
    </row>
    <row r="782" spans="1:6" ht="17.100000000000001" customHeight="1">
      <c r="A782" s="901"/>
      <c r="B782" s="1352"/>
      <c r="C782" s="1377"/>
      <c r="D782" s="1284" t="s">
        <v>213</v>
      </c>
      <c r="E782" s="1285"/>
      <c r="F782" s="343">
        <f>F783+F798+F804+F801</f>
        <v>3952168</v>
      </c>
    </row>
    <row r="783" spans="1:6" ht="17.100000000000001" customHeight="1">
      <c r="A783" s="901"/>
      <c r="B783" s="1319"/>
      <c r="C783" s="1320"/>
      <c r="D783" s="1286" t="s">
        <v>214</v>
      </c>
      <c r="E783" s="1294"/>
      <c r="F783" s="347">
        <f>F784+F788</f>
        <v>3790850</v>
      </c>
    </row>
    <row r="784" spans="1:6" ht="17.100000000000001" customHeight="1">
      <c r="A784" s="901"/>
      <c r="B784" s="1319"/>
      <c r="C784" s="1320"/>
      <c r="D784" s="1288" t="s">
        <v>215</v>
      </c>
      <c r="E784" s="1295"/>
      <c r="F784" s="347">
        <f>SUM(F785:F786)</f>
        <v>85500</v>
      </c>
    </row>
    <row r="785" spans="1:6" ht="17.100000000000001" customHeight="1">
      <c r="A785" s="901"/>
      <c r="B785" s="1319"/>
      <c r="C785" s="1320"/>
      <c r="D785" s="472" t="s">
        <v>220</v>
      </c>
      <c r="E785" s="346" t="s">
        <v>221</v>
      </c>
      <c r="F785" s="347">
        <f>500</f>
        <v>500</v>
      </c>
    </row>
    <row r="786" spans="1:6" ht="17.100000000000001" customHeight="1">
      <c r="A786" s="901"/>
      <c r="B786" s="1319"/>
      <c r="C786" s="1320"/>
      <c r="D786" s="472" t="s">
        <v>224</v>
      </c>
      <c r="E786" s="346" t="s">
        <v>225</v>
      </c>
      <c r="F786" s="347">
        <f>3000+82000</f>
        <v>85000</v>
      </c>
    </row>
    <row r="787" spans="1:6" ht="17.100000000000001" customHeight="1">
      <c r="A787" s="901"/>
      <c r="B787" s="1319"/>
      <c r="C787" s="1320"/>
      <c r="D787" s="1267"/>
      <c r="E787" s="1269"/>
      <c r="F787" s="1270"/>
    </row>
    <row r="788" spans="1:6" ht="17.100000000000001" customHeight="1">
      <c r="A788" s="901"/>
      <c r="B788" s="1319"/>
      <c r="C788" s="1320"/>
      <c r="D788" s="1292" t="s">
        <v>226</v>
      </c>
      <c r="E788" s="1293"/>
      <c r="F788" s="347">
        <f>SUM(F789:F796)</f>
        <v>3705350</v>
      </c>
    </row>
    <row r="789" spans="1:6" ht="17.100000000000001" customHeight="1">
      <c r="A789" s="901"/>
      <c r="B789" s="1319"/>
      <c r="C789" s="1320"/>
      <c r="D789" s="472" t="s">
        <v>229</v>
      </c>
      <c r="E789" s="346" t="s">
        <v>230</v>
      </c>
      <c r="F789" s="347">
        <f>27000</f>
        <v>27000</v>
      </c>
    </row>
    <row r="790" spans="1:6" ht="17.100000000000001" customHeight="1">
      <c r="A790" s="901"/>
      <c r="B790" s="1319"/>
      <c r="C790" s="1320"/>
      <c r="D790" s="472" t="s">
        <v>237</v>
      </c>
      <c r="E790" s="346" t="s">
        <v>238</v>
      </c>
      <c r="F790" s="347">
        <f>4600+5000+3151000</f>
        <v>3160600</v>
      </c>
    </row>
    <row r="791" spans="1:6" ht="17.100000000000001" customHeight="1">
      <c r="A791" s="901"/>
      <c r="B791" s="1319"/>
      <c r="C791" s="1320"/>
      <c r="D791" s="472" t="s">
        <v>441</v>
      </c>
      <c r="E791" s="346" t="s">
        <v>442</v>
      </c>
      <c r="F791" s="347">
        <f>5000</f>
        <v>5000</v>
      </c>
    </row>
    <row r="792" spans="1:6" ht="17.100000000000001" customHeight="1">
      <c r="A792" s="901"/>
      <c r="B792" s="1319"/>
      <c r="C792" s="1320"/>
      <c r="D792" s="472" t="s">
        <v>245</v>
      </c>
      <c r="E792" s="346" t="s">
        <v>246</v>
      </c>
      <c r="F792" s="347">
        <f>61750+3000+140000</f>
        <v>204750</v>
      </c>
    </row>
    <row r="793" spans="1:6" ht="17.100000000000001" customHeight="1">
      <c r="A793" s="901"/>
      <c r="B793" s="1319"/>
      <c r="C793" s="1320"/>
      <c r="D793" s="472" t="s">
        <v>249</v>
      </c>
      <c r="E793" s="346" t="s">
        <v>250</v>
      </c>
      <c r="F793" s="347">
        <f>3000</f>
        <v>3000</v>
      </c>
    </row>
    <row r="794" spans="1:6" ht="17.100000000000001" customHeight="1">
      <c r="A794" s="901"/>
      <c r="B794" s="1319"/>
      <c r="C794" s="1320"/>
      <c r="D794" s="472" t="s">
        <v>311</v>
      </c>
      <c r="E794" s="346" t="s">
        <v>312</v>
      </c>
      <c r="F794" s="347">
        <f>5000</f>
        <v>5000</v>
      </c>
    </row>
    <row r="795" spans="1:6" ht="17.100000000000001" customHeight="1">
      <c r="A795" s="901"/>
      <c r="B795" s="1319"/>
      <c r="C795" s="1320"/>
      <c r="D795" s="472" t="s">
        <v>251</v>
      </c>
      <c r="E795" s="346" t="s">
        <v>252</v>
      </c>
      <c r="F795" s="347">
        <f>110000+170000</f>
        <v>280000</v>
      </c>
    </row>
    <row r="796" spans="1:6" ht="17.100000000000001" customHeight="1">
      <c r="A796" s="901"/>
      <c r="B796" s="1319"/>
      <c r="C796" s="1320"/>
      <c r="D796" s="472" t="s">
        <v>335</v>
      </c>
      <c r="E796" s="346" t="s">
        <v>336</v>
      </c>
      <c r="F796" s="347">
        <f>20000</f>
        <v>20000</v>
      </c>
    </row>
    <row r="797" spans="1:6" ht="17.100000000000001" customHeight="1">
      <c r="A797" s="901"/>
      <c r="B797" s="1319"/>
      <c r="C797" s="1320"/>
      <c r="D797" s="1267"/>
      <c r="E797" s="1269"/>
      <c r="F797" s="1270"/>
    </row>
    <row r="798" spans="1:6" ht="17.100000000000001" customHeight="1">
      <c r="A798" s="901"/>
      <c r="B798" s="1319"/>
      <c r="C798" s="1320"/>
      <c r="D798" s="1290" t="s">
        <v>286</v>
      </c>
      <c r="E798" s="1291"/>
      <c r="F798" s="347">
        <f>F799</f>
        <v>6250</v>
      </c>
    </row>
    <row r="799" spans="1:6" ht="29.25" customHeight="1">
      <c r="A799" s="901"/>
      <c r="B799" s="1319"/>
      <c r="C799" s="1320"/>
      <c r="D799" s="353" t="s">
        <v>287</v>
      </c>
      <c r="E799" s="354" t="s">
        <v>288</v>
      </c>
      <c r="F799" s="355">
        <f>6250</f>
        <v>6250</v>
      </c>
    </row>
    <row r="800" spans="1:6" ht="17.100000000000001" customHeight="1">
      <c r="A800" s="901"/>
      <c r="B800" s="1319"/>
      <c r="C800" s="1320"/>
      <c r="D800" s="1388"/>
      <c r="E800" s="1389"/>
      <c r="F800" s="1390"/>
    </row>
    <row r="801" spans="1:6" ht="17.100000000000001" customHeight="1">
      <c r="A801" s="901"/>
      <c r="B801" s="1319"/>
      <c r="C801" s="1320"/>
      <c r="D801" s="1290" t="s">
        <v>467</v>
      </c>
      <c r="E801" s="1291"/>
      <c r="F801" s="395">
        <f>F802</f>
        <v>2000</v>
      </c>
    </row>
    <row r="802" spans="1:6" ht="17.100000000000001" customHeight="1">
      <c r="A802" s="901"/>
      <c r="B802" s="1319"/>
      <c r="C802" s="1320"/>
      <c r="D802" s="472" t="s">
        <v>436</v>
      </c>
      <c r="E802" s="346" t="s">
        <v>468</v>
      </c>
      <c r="F802" s="395">
        <f>2000</f>
        <v>2000</v>
      </c>
    </row>
    <row r="803" spans="1:6" ht="17.100000000000001" customHeight="1">
      <c r="A803" s="901"/>
      <c r="B803" s="1319"/>
      <c r="C803" s="1320"/>
      <c r="D803" s="1391"/>
      <c r="E803" s="1391"/>
      <c r="F803" s="1392"/>
    </row>
    <row r="804" spans="1:6" ht="17.100000000000001" customHeight="1">
      <c r="A804" s="901"/>
      <c r="B804" s="1319"/>
      <c r="C804" s="1320"/>
      <c r="D804" s="1383" t="s">
        <v>343</v>
      </c>
      <c r="E804" s="1384"/>
      <c r="F804" s="377">
        <f>SUM(F805:F830)</f>
        <v>153068</v>
      </c>
    </row>
    <row r="805" spans="1:6" ht="17.100000000000001" customHeight="1">
      <c r="A805" s="901"/>
      <c r="B805" s="1319"/>
      <c r="C805" s="1320"/>
      <c r="D805" s="407" t="s">
        <v>362</v>
      </c>
      <c r="E805" s="461" t="s">
        <v>217</v>
      </c>
      <c r="F805" s="377">
        <f>60247</f>
        <v>60247</v>
      </c>
    </row>
    <row r="806" spans="1:6" ht="17.100000000000001" hidden="1" customHeight="1">
      <c r="A806" s="901"/>
      <c r="B806" s="1319"/>
      <c r="C806" s="1320"/>
      <c r="D806" s="352" t="s">
        <v>291</v>
      </c>
      <c r="E806" s="346" t="s">
        <v>217</v>
      </c>
      <c r="F806" s="347"/>
    </row>
    <row r="807" spans="1:6" ht="17.100000000000001" customHeight="1">
      <c r="A807" s="901"/>
      <c r="B807" s="1319"/>
      <c r="C807" s="1320"/>
      <c r="D807" s="472" t="s">
        <v>292</v>
      </c>
      <c r="E807" s="346" t="s">
        <v>217</v>
      </c>
      <c r="F807" s="347">
        <f>10632</f>
        <v>10632</v>
      </c>
    </row>
    <row r="808" spans="1:6" ht="17.100000000000001" customHeight="1">
      <c r="A808" s="901"/>
      <c r="B808" s="1319"/>
      <c r="C808" s="1320"/>
      <c r="D808" s="472" t="s">
        <v>363</v>
      </c>
      <c r="E808" s="346" t="s">
        <v>221</v>
      </c>
      <c r="F808" s="347">
        <f>10357</f>
        <v>10357</v>
      </c>
    </row>
    <row r="809" spans="1:6" ht="17.100000000000001" hidden="1" customHeight="1">
      <c r="A809" s="901"/>
      <c r="B809" s="1319"/>
      <c r="C809" s="1320"/>
      <c r="D809" s="472" t="s">
        <v>295</v>
      </c>
      <c r="E809" s="346" t="s">
        <v>221</v>
      </c>
      <c r="F809" s="347"/>
    </row>
    <row r="810" spans="1:6" ht="17.100000000000001" customHeight="1">
      <c r="A810" s="901"/>
      <c r="B810" s="1319"/>
      <c r="C810" s="1320"/>
      <c r="D810" s="472" t="s">
        <v>296</v>
      </c>
      <c r="E810" s="346" t="s">
        <v>221</v>
      </c>
      <c r="F810" s="347">
        <f>1828</f>
        <v>1828</v>
      </c>
    </row>
    <row r="811" spans="1:6" ht="17.100000000000001" customHeight="1">
      <c r="A811" s="901"/>
      <c r="B811" s="1319"/>
      <c r="C811" s="1320"/>
      <c r="D811" s="472" t="s">
        <v>364</v>
      </c>
      <c r="E811" s="346" t="s">
        <v>223</v>
      </c>
      <c r="F811" s="347">
        <f>1476</f>
        <v>1476</v>
      </c>
    </row>
    <row r="812" spans="1:6" ht="17.100000000000001" hidden="1" customHeight="1">
      <c r="A812" s="901"/>
      <c r="B812" s="1319"/>
      <c r="C812" s="1320"/>
      <c r="D812" s="472" t="s">
        <v>297</v>
      </c>
      <c r="E812" s="346" t="s">
        <v>223</v>
      </c>
      <c r="F812" s="347"/>
    </row>
    <row r="813" spans="1:6" ht="17.100000000000001" customHeight="1">
      <c r="A813" s="901"/>
      <c r="B813" s="1319"/>
      <c r="C813" s="1320"/>
      <c r="D813" s="472" t="s">
        <v>298</v>
      </c>
      <c r="E813" s="346" t="s">
        <v>223</v>
      </c>
      <c r="F813" s="347">
        <f>260</f>
        <v>260</v>
      </c>
    </row>
    <row r="814" spans="1:6" ht="17.100000000000001" hidden="1" customHeight="1">
      <c r="A814" s="901"/>
      <c r="B814" s="1319"/>
      <c r="C814" s="1320"/>
      <c r="D814" s="472" t="s">
        <v>460</v>
      </c>
      <c r="E814" s="346" t="s">
        <v>225</v>
      </c>
      <c r="F814" s="347"/>
    </row>
    <row r="815" spans="1:6" ht="17.100000000000001" hidden="1" customHeight="1">
      <c r="A815" s="901"/>
      <c r="B815" s="1319"/>
      <c r="C815" s="1320"/>
      <c r="D815" s="472" t="s">
        <v>299</v>
      </c>
      <c r="E815" s="346" t="s">
        <v>225</v>
      </c>
      <c r="F815" s="347"/>
    </row>
    <row r="816" spans="1:6" ht="17.100000000000001" hidden="1" customHeight="1">
      <c r="A816" s="901"/>
      <c r="B816" s="1319"/>
      <c r="C816" s="1320"/>
      <c r="D816" s="472" t="s">
        <v>300</v>
      </c>
      <c r="E816" s="346" t="s">
        <v>225</v>
      </c>
      <c r="F816" s="347"/>
    </row>
    <row r="817" spans="1:6" ht="17.100000000000001" customHeight="1">
      <c r="A817" s="901"/>
      <c r="B817" s="1319"/>
      <c r="C817" s="1320"/>
      <c r="D817" s="472" t="s">
        <v>366</v>
      </c>
      <c r="E817" s="346" t="s">
        <v>238</v>
      </c>
      <c r="F817" s="347">
        <f>41368</f>
        <v>41368</v>
      </c>
    </row>
    <row r="818" spans="1:6" ht="17.100000000000001" hidden="1" customHeight="1">
      <c r="A818" s="901"/>
      <c r="B818" s="1319"/>
      <c r="C818" s="1320"/>
      <c r="D818" s="472" t="s">
        <v>303</v>
      </c>
      <c r="E818" s="346" t="s">
        <v>238</v>
      </c>
      <c r="F818" s="347"/>
    </row>
    <row r="819" spans="1:6" ht="17.100000000000001" customHeight="1">
      <c r="A819" s="901"/>
      <c r="B819" s="1319"/>
      <c r="C819" s="1320"/>
      <c r="D819" s="472" t="s">
        <v>304</v>
      </c>
      <c r="E819" s="346" t="s">
        <v>238</v>
      </c>
      <c r="F819" s="347">
        <f>7300</f>
        <v>7300</v>
      </c>
    </row>
    <row r="820" spans="1:6" ht="17.100000000000001" hidden="1" customHeight="1">
      <c r="A820" s="901"/>
      <c r="B820" s="1319"/>
      <c r="C820" s="1320"/>
      <c r="D820" s="472" t="s">
        <v>448</v>
      </c>
      <c r="E820" s="346" t="s">
        <v>442</v>
      </c>
      <c r="F820" s="347"/>
    </row>
    <row r="821" spans="1:6" ht="17.100000000000001" hidden="1" customHeight="1">
      <c r="A821" s="901"/>
      <c r="B821" s="1319"/>
      <c r="C821" s="1320"/>
      <c r="D821" s="472" t="s">
        <v>449</v>
      </c>
      <c r="E821" s="346" t="s">
        <v>442</v>
      </c>
      <c r="F821" s="347"/>
    </row>
    <row r="822" spans="1:6" ht="17.100000000000001" hidden="1" customHeight="1">
      <c r="A822" s="901"/>
      <c r="B822" s="1319"/>
      <c r="C822" s="1320"/>
      <c r="D822" s="472" t="s">
        <v>367</v>
      </c>
      <c r="E822" s="346" t="s">
        <v>246</v>
      </c>
      <c r="F822" s="347"/>
    </row>
    <row r="823" spans="1:6" ht="17.100000000000001" hidden="1" customHeight="1">
      <c r="A823" s="901"/>
      <c r="B823" s="1319"/>
      <c r="C823" s="1320"/>
      <c r="D823" s="472" t="s">
        <v>450</v>
      </c>
      <c r="E823" s="346" t="s">
        <v>246</v>
      </c>
      <c r="F823" s="347"/>
    </row>
    <row r="824" spans="1:6" ht="17.100000000000001" hidden="1" customHeight="1">
      <c r="A824" s="901"/>
      <c r="B824" s="1319"/>
      <c r="C824" s="1320"/>
      <c r="D824" s="472" t="s">
        <v>368</v>
      </c>
      <c r="E824" s="346" t="s">
        <v>246</v>
      </c>
      <c r="F824" s="347"/>
    </row>
    <row r="825" spans="1:6" ht="17.100000000000001" customHeight="1">
      <c r="A825" s="901"/>
      <c r="B825" s="1319"/>
      <c r="C825" s="1320"/>
      <c r="D825" s="472" t="s">
        <v>392</v>
      </c>
      <c r="E825" s="346" t="s">
        <v>250</v>
      </c>
      <c r="F825" s="347">
        <f>3400</f>
        <v>3400</v>
      </c>
    </row>
    <row r="826" spans="1:6" ht="17.100000000000001" customHeight="1">
      <c r="A826" s="901"/>
      <c r="B826" s="1319"/>
      <c r="C826" s="1320"/>
      <c r="D826" s="472" t="s">
        <v>310</v>
      </c>
      <c r="E826" s="346" t="s">
        <v>250</v>
      </c>
      <c r="F826" s="347">
        <f>600</f>
        <v>600</v>
      </c>
    </row>
    <row r="827" spans="1:6" ht="17.100000000000001" hidden="1" customHeight="1">
      <c r="A827" s="901"/>
      <c r="B827" s="1319"/>
      <c r="C827" s="1320"/>
      <c r="D827" s="472" t="s">
        <v>313</v>
      </c>
      <c r="E827" s="346" t="s">
        <v>312</v>
      </c>
      <c r="F827" s="347"/>
    </row>
    <row r="828" spans="1:6" ht="17.100000000000001" hidden="1" customHeight="1">
      <c r="A828" s="901"/>
      <c r="B828" s="1319"/>
      <c r="C828" s="1320"/>
      <c r="D828" s="353" t="s">
        <v>314</v>
      </c>
      <c r="E828" s="354" t="s">
        <v>312</v>
      </c>
      <c r="F828" s="355"/>
    </row>
    <row r="829" spans="1:6" ht="17.100000000000001" customHeight="1">
      <c r="A829" s="901"/>
      <c r="B829" s="1319"/>
      <c r="C829" s="1320"/>
      <c r="D829" s="458" t="s">
        <v>430</v>
      </c>
      <c r="E829" s="408" t="s">
        <v>469</v>
      </c>
      <c r="F829" s="347">
        <f>13260</f>
        <v>13260</v>
      </c>
    </row>
    <row r="830" spans="1:6" ht="17.100000000000001" customHeight="1">
      <c r="A830" s="901"/>
      <c r="B830" s="1319"/>
      <c r="C830" s="1320"/>
      <c r="D830" s="409" t="s">
        <v>318</v>
      </c>
      <c r="E830" s="408" t="s">
        <v>469</v>
      </c>
      <c r="F830" s="377">
        <f>2340</f>
        <v>2340</v>
      </c>
    </row>
    <row r="831" spans="1:6" ht="17.100000000000001" customHeight="1">
      <c r="A831" s="901"/>
      <c r="B831" s="1319"/>
      <c r="C831" s="1320"/>
      <c r="D831" s="1385"/>
      <c r="E831" s="1386"/>
      <c r="F831" s="1387"/>
    </row>
    <row r="832" spans="1:6" ht="17.100000000000001" customHeight="1">
      <c r="A832" s="901"/>
      <c r="B832" s="1319"/>
      <c r="C832" s="1320"/>
      <c r="D832" s="1296" t="s">
        <v>281</v>
      </c>
      <c r="E832" s="1297"/>
      <c r="F832" s="891">
        <f>F833</f>
        <v>67267285</v>
      </c>
    </row>
    <row r="833" spans="1:7" ht="17.100000000000001" customHeight="1">
      <c r="A833" s="901"/>
      <c r="B833" s="1319"/>
      <c r="C833" s="1320"/>
      <c r="D833" s="1382" t="s">
        <v>904</v>
      </c>
      <c r="E833" s="1382"/>
      <c r="F833" s="395">
        <f>SUM(F834:F836)</f>
        <v>67267285</v>
      </c>
    </row>
    <row r="834" spans="1:7" ht="17.100000000000001" customHeight="1">
      <c r="A834" s="901"/>
      <c r="B834" s="1319"/>
      <c r="C834" s="1320"/>
      <c r="D834" s="352" t="s">
        <v>282</v>
      </c>
      <c r="E834" s="356" t="s">
        <v>269</v>
      </c>
      <c r="F834" s="377">
        <f>5450483</f>
        <v>5450483</v>
      </c>
      <c r="G834" s="363"/>
    </row>
    <row r="835" spans="1:7" ht="17.100000000000001" customHeight="1">
      <c r="A835" s="901"/>
      <c r="B835" s="1319"/>
      <c r="C835" s="1320"/>
      <c r="D835" s="352" t="s">
        <v>283</v>
      </c>
      <c r="E835" s="356" t="s">
        <v>269</v>
      </c>
      <c r="F835" s="377">
        <f>59968317</f>
        <v>59968317</v>
      </c>
    </row>
    <row r="836" spans="1:7" ht="37.5" customHeight="1">
      <c r="A836" s="901"/>
      <c r="B836" s="1319"/>
      <c r="C836" s="1320"/>
      <c r="D836" s="472" t="s">
        <v>350</v>
      </c>
      <c r="E836" s="346" t="s">
        <v>349</v>
      </c>
      <c r="F836" s="347">
        <f>1848485</f>
        <v>1848485</v>
      </c>
      <c r="G836" s="375"/>
    </row>
    <row r="837" spans="1:7" ht="18.75" customHeight="1">
      <c r="A837" s="901"/>
      <c r="B837" s="1319"/>
      <c r="C837" s="1320"/>
      <c r="D837" s="1267"/>
      <c r="E837" s="1323"/>
      <c r="F837" s="1324"/>
      <c r="G837" s="375"/>
    </row>
    <row r="838" spans="1:7" ht="18.75" customHeight="1">
      <c r="A838" s="901"/>
      <c r="B838" s="1319"/>
      <c r="C838" s="1320"/>
      <c r="D838" s="1292" t="s">
        <v>284</v>
      </c>
      <c r="E838" s="1307"/>
      <c r="F838" s="347">
        <f>F839+F840+F841</f>
        <v>67267285</v>
      </c>
      <c r="G838" s="375"/>
    </row>
    <row r="839" spans="1:7" ht="18.75" customHeight="1">
      <c r="A839" s="901"/>
      <c r="B839" s="1319"/>
      <c r="C839" s="1320"/>
      <c r="D839" s="472" t="s">
        <v>282</v>
      </c>
      <c r="E839" s="346" t="s">
        <v>269</v>
      </c>
      <c r="F839" s="347">
        <f>5450483</f>
        <v>5450483</v>
      </c>
      <c r="G839" s="375"/>
    </row>
    <row r="840" spans="1:7" ht="18.75" customHeight="1">
      <c r="A840" s="901"/>
      <c r="B840" s="1319"/>
      <c r="C840" s="1320"/>
      <c r="D840" s="472" t="s">
        <v>283</v>
      </c>
      <c r="E840" s="346" t="s">
        <v>269</v>
      </c>
      <c r="F840" s="347">
        <f>59968317</f>
        <v>59968317</v>
      </c>
      <c r="G840" s="375"/>
    </row>
    <row r="841" spans="1:7" ht="44.25" customHeight="1">
      <c r="A841" s="901"/>
      <c r="B841" s="1321"/>
      <c r="C841" s="1322"/>
      <c r="D841" s="472" t="s">
        <v>350</v>
      </c>
      <c r="E841" s="346" t="s">
        <v>349</v>
      </c>
      <c r="F841" s="347">
        <f>1848485</f>
        <v>1848485</v>
      </c>
      <c r="G841" s="375"/>
    </row>
    <row r="842" spans="1:7" ht="17.100000000000001" customHeight="1">
      <c r="A842" s="900" t="s">
        <v>470</v>
      </c>
      <c r="B842" s="1276"/>
      <c r="C842" s="1277"/>
      <c r="D842" s="337"/>
      <c r="E842" s="338" t="s">
        <v>471</v>
      </c>
      <c r="F842" s="339">
        <f>F843</f>
        <v>3000</v>
      </c>
    </row>
    <row r="843" spans="1:7" ht="17.100000000000001" customHeight="1">
      <c r="A843" s="901"/>
      <c r="B843" s="1278" t="s">
        <v>472</v>
      </c>
      <c r="C843" s="1279"/>
      <c r="D843" s="340"/>
      <c r="E843" s="341" t="s">
        <v>473</v>
      </c>
      <c r="F843" s="342">
        <f>F844</f>
        <v>3000</v>
      </c>
    </row>
    <row r="844" spans="1:7" ht="17.100000000000001" customHeight="1">
      <c r="A844" s="901"/>
      <c r="B844" s="1280"/>
      <c r="C844" s="1281"/>
      <c r="D844" s="1284" t="s">
        <v>213</v>
      </c>
      <c r="E844" s="1285"/>
      <c r="F844" s="343">
        <f>F845</f>
        <v>3000</v>
      </c>
    </row>
    <row r="845" spans="1:7" ht="17.100000000000001" customHeight="1">
      <c r="A845" s="901"/>
      <c r="B845" s="1282"/>
      <c r="C845" s="1283"/>
      <c r="D845" s="1286" t="s">
        <v>214</v>
      </c>
      <c r="E845" s="1294"/>
      <c r="F845" s="347">
        <f>F846</f>
        <v>3000</v>
      </c>
    </row>
    <row r="846" spans="1:7" ht="17.100000000000001" customHeight="1">
      <c r="A846" s="901"/>
      <c r="B846" s="1282"/>
      <c r="C846" s="1283"/>
      <c r="D846" s="1292" t="s">
        <v>226</v>
      </c>
      <c r="E846" s="1293"/>
      <c r="F846" s="347">
        <f>F847</f>
        <v>3000</v>
      </c>
    </row>
    <row r="847" spans="1:7" ht="17.100000000000001" customHeight="1">
      <c r="A847" s="901"/>
      <c r="B847" s="1303"/>
      <c r="C847" s="1308"/>
      <c r="D847" s="472" t="s">
        <v>229</v>
      </c>
      <c r="E847" s="346" t="s">
        <v>230</v>
      </c>
      <c r="F847" s="347">
        <f>3000</f>
        <v>3000</v>
      </c>
    </row>
    <row r="848" spans="1:7" ht="17.100000000000001" customHeight="1">
      <c r="A848" s="902" t="s">
        <v>12</v>
      </c>
      <c r="B848" s="1276"/>
      <c r="C848" s="1277"/>
      <c r="D848" s="337"/>
      <c r="E848" s="338" t="s">
        <v>474</v>
      </c>
      <c r="F848" s="339">
        <f>F849+F857+F865+F869</f>
        <v>1206250</v>
      </c>
    </row>
    <row r="849" spans="1:6" ht="17.100000000000001" customHeight="1">
      <c r="A849" s="458"/>
      <c r="B849" s="1393" t="s">
        <v>13</v>
      </c>
      <c r="C849" s="1279"/>
      <c r="D849" s="340"/>
      <c r="E849" s="341" t="s">
        <v>475</v>
      </c>
      <c r="F849" s="342">
        <f>F850+F854</f>
        <v>400000</v>
      </c>
    </row>
    <row r="850" spans="1:6" ht="17.100000000000001" hidden="1" customHeight="1">
      <c r="A850" s="892"/>
      <c r="B850" s="1408"/>
      <c r="C850" s="1281"/>
      <c r="D850" s="1284" t="s">
        <v>213</v>
      </c>
      <c r="E850" s="1285"/>
      <c r="F850" s="343">
        <f>F851</f>
        <v>0</v>
      </c>
    </row>
    <row r="851" spans="1:6" ht="17.100000000000001" hidden="1" customHeight="1">
      <c r="A851" s="892"/>
      <c r="B851" s="1398"/>
      <c r="C851" s="1283"/>
      <c r="D851" s="1290" t="s">
        <v>286</v>
      </c>
      <c r="E851" s="1291"/>
      <c r="F851" s="347">
        <f>F852</f>
        <v>0</v>
      </c>
    </row>
    <row r="852" spans="1:6" ht="17.100000000000001" hidden="1" customHeight="1">
      <c r="A852" s="892"/>
      <c r="B852" s="1398"/>
      <c r="C852" s="1283"/>
      <c r="D852" s="472" t="s">
        <v>476</v>
      </c>
      <c r="E852" s="346" t="s">
        <v>477</v>
      </c>
      <c r="F852" s="347"/>
    </row>
    <row r="853" spans="1:6" ht="17.100000000000001" hidden="1" customHeight="1">
      <c r="A853" s="892"/>
      <c r="B853" s="1400"/>
      <c r="C853" s="1363"/>
      <c r="D853" s="1267"/>
      <c r="E853" s="1323"/>
      <c r="F853" s="1324"/>
    </row>
    <row r="854" spans="1:6" ht="17.100000000000001" customHeight="1">
      <c r="A854" s="892"/>
      <c r="B854" s="1400"/>
      <c r="C854" s="1363"/>
      <c r="D854" s="1296" t="s">
        <v>266</v>
      </c>
      <c r="E854" s="1332"/>
      <c r="F854" s="347">
        <f>F855</f>
        <v>400000</v>
      </c>
    </row>
    <row r="855" spans="1:6" ht="17.100000000000001" customHeight="1">
      <c r="A855" s="892"/>
      <c r="B855" s="1400"/>
      <c r="C855" s="1363"/>
      <c r="D855" s="1290" t="s">
        <v>904</v>
      </c>
      <c r="E855" s="1367"/>
      <c r="F855" s="347">
        <f>F856</f>
        <v>400000</v>
      </c>
    </row>
    <row r="856" spans="1:6" ht="25.5" customHeight="1">
      <c r="A856" s="892"/>
      <c r="B856" s="1409"/>
      <c r="C856" s="1343"/>
      <c r="D856" s="472" t="s">
        <v>478</v>
      </c>
      <c r="E856" s="346" t="s">
        <v>479</v>
      </c>
      <c r="F856" s="347">
        <f>400000</f>
        <v>400000</v>
      </c>
    </row>
    <row r="857" spans="1:6" ht="17.100000000000001" customHeight="1">
      <c r="A857" s="892"/>
      <c r="B857" s="1394" t="s">
        <v>14</v>
      </c>
      <c r="C857" s="1395"/>
      <c r="D857" s="340"/>
      <c r="E857" s="341" t="s">
        <v>480</v>
      </c>
      <c r="F857" s="342">
        <f>F858+F862</f>
        <v>200000</v>
      </c>
    </row>
    <row r="858" spans="1:6" ht="17.100000000000001" hidden="1" customHeight="1">
      <c r="A858" s="892"/>
      <c r="B858" s="1396"/>
      <c r="C858" s="1397"/>
      <c r="D858" s="1404" t="s">
        <v>213</v>
      </c>
      <c r="E858" s="1285"/>
      <c r="F858" s="343">
        <f>F859</f>
        <v>0</v>
      </c>
    </row>
    <row r="859" spans="1:6" ht="17.100000000000001" hidden="1" customHeight="1">
      <c r="A859" s="892"/>
      <c r="B859" s="1398"/>
      <c r="C859" s="1399"/>
      <c r="D859" s="1405" t="s">
        <v>286</v>
      </c>
      <c r="E859" s="1291"/>
      <c r="F859" s="347">
        <f>F860</f>
        <v>0</v>
      </c>
    </row>
    <row r="860" spans="1:6" ht="17.100000000000001" hidden="1" customHeight="1">
      <c r="A860" s="892"/>
      <c r="B860" s="1398"/>
      <c r="C860" s="1399"/>
      <c r="D860" s="474" t="s">
        <v>476</v>
      </c>
      <c r="E860" s="346" t="s">
        <v>477</v>
      </c>
      <c r="F860" s="347"/>
    </row>
    <row r="861" spans="1:6" ht="17.100000000000001" hidden="1" customHeight="1">
      <c r="A861" s="892"/>
      <c r="B861" s="1400"/>
      <c r="C861" s="1401"/>
      <c r="D861" s="1406"/>
      <c r="E861" s="1323"/>
      <c r="F861" s="1324"/>
    </row>
    <row r="862" spans="1:6" ht="17.100000000000001" customHeight="1">
      <c r="A862" s="892"/>
      <c r="B862" s="1400"/>
      <c r="C862" s="1401"/>
      <c r="D862" s="1407" t="s">
        <v>266</v>
      </c>
      <c r="E862" s="1332"/>
      <c r="F862" s="347">
        <f>F863</f>
        <v>200000</v>
      </c>
    </row>
    <row r="863" spans="1:6" ht="17.100000000000001" customHeight="1">
      <c r="A863" s="892"/>
      <c r="B863" s="1400"/>
      <c r="C863" s="1401"/>
      <c r="D863" s="1290" t="s">
        <v>904</v>
      </c>
      <c r="E863" s="1367"/>
      <c r="F863" s="347">
        <f>F864</f>
        <v>200000</v>
      </c>
    </row>
    <row r="864" spans="1:6" ht="27" customHeight="1">
      <c r="A864" s="892"/>
      <c r="B864" s="1402"/>
      <c r="C864" s="1403"/>
      <c r="D864" s="474" t="s">
        <v>478</v>
      </c>
      <c r="E864" s="346" t="s">
        <v>479</v>
      </c>
      <c r="F864" s="347">
        <f>200000</f>
        <v>200000</v>
      </c>
    </row>
    <row r="865" spans="1:6" ht="17.25" customHeight="1">
      <c r="A865" s="892"/>
      <c r="B865" s="475"/>
      <c r="C865" s="471" t="s">
        <v>15</v>
      </c>
      <c r="D865" s="340"/>
      <c r="E865" s="341" t="s">
        <v>481</v>
      </c>
      <c r="F865" s="342">
        <f>F866</f>
        <v>400000</v>
      </c>
    </row>
    <row r="866" spans="1:6" ht="17.100000000000001" customHeight="1">
      <c r="A866" s="892"/>
      <c r="B866" s="475"/>
      <c r="C866" s="1281"/>
      <c r="D866" s="1284" t="s">
        <v>266</v>
      </c>
      <c r="E866" s="1285"/>
      <c r="F866" s="343">
        <f>F867</f>
        <v>400000</v>
      </c>
    </row>
    <row r="867" spans="1:6" ht="17.100000000000001" customHeight="1">
      <c r="A867" s="892"/>
      <c r="B867" s="475"/>
      <c r="C867" s="1340"/>
      <c r="D867" s="1290" t="s">
        <v>904</v>
      </c>
      <c r="E867" s="1367"/>
      <c r="F867" s="347">
        <f>F868</f>
        <v>400000</v>
      </c>
    </row>
    <row r="868" spans="1:6" ht="25.5">
      <c r="A868" s="892"/>
      <c r="B868" s="475"/>
      <c r="C868" s="1342"/>
      <c r="D868" s="472" t="s">
        <v>478</v>
      </c>
      <c r="E868" s="346" t="s">
        <v>479</v>
      </c>
      <c r="F868" s="347">
        <f>400000</f>
        <v>400000</v>
      </c>
    </row>
    <row r="869" spans="1:6" ht="17.100000000000001" customHeight="1">
      <c r="A869" s="892"/>
      <c r="B869" s="1393" t="s">
        <v>482</v>
      </c>
      <c r="C869" s="1279"/>
      <c r="D869" s="340"/>
      <c r="E869" s="341" t="s">
        <v>483</v>
      </c>
      <c r="F869" s="342">
        <f>F870</f>
        <v>206250</v>
      </c>
    </row>
    <row r="870" spans="1:6" ht="17.100000000000001" customHeight="1">
      <c r="A870" s="892"/>
      <c r="B870" s="1301"/>
      <c r="C870" s="1281"/>
      <c r="D870" s="1284" t="s">
        <v>213</v>
      </c>
      <c r="E870" s="1285"/>
      <c r="F870" s="343">
        <f>F871</f>
        <v>206250</v>
      </c>
    </row>
    <row r="871" spans="1:6" ht="17.100000000000001" customHeight="1">
      <c r="A871" s="892"/>
      <c r="B871" s="1302"/>
      <c r="C871" s="1283"/>
      <c r="D871" s="1290" t="s">
        <v>286</v>
      </c>
      <c r="E871" s="1291"/>
      <c r="F871" s="347">
        <f>F872</f>
        <v>206250</v>
      </c>
    </row>
    <row r="872" spans="1:6" ht="44.25" customHeight="1">
      <c r="A872" s="478"/>
      <c r="B872" s="1304"/>
      <c r="C872" s="1308"/>
      <c r="D872" s="472" t="s">
        <v>337</v>
      </c>
      <c r="E872" s="346" t="s">
        <v>338</v>
      </c>
      <c r="F872" s="347">
        <f>206250</f>
        <v>206250</v>
      </c>
    </row>
    <row r="873" spans="1:6" ht="17.100000000000001" customHeight="1">
      <c r="A873" s="903" t="s">
        <v>484</v>
      </c>
      <c r="B873" s="1276"/>
      <c r="C873" s="1277"/>
      <c r="D873" s="337"/>
      <c r="E873" s="338" t="s">
        <v>485</v>
      </c>
      <c r="F873" s="339">
        <f>F874+F878</f>
        <v>23224429</v>
      </c>
    </row>
    <row r="874" spans="1:6" ht="30" customHeight="1">
      <c r="A874" s="901"/>
      <c r="B874" s="1278" t="s">
        <v>486</v>
      </c>
      <c r="C874" s="1279"/>
      <c r="D874" s="340"/>
      <c r="E874" s="341" t="s">
        <v>487</v>
      </c>
      <c r="F874" s="342">
        <f>F875</f>
        <v>14000000</v>
      </c>
    </row>
    <row r="875" spans="1:6" ht="17.100000000000001" customHeight="1">
      <c r="A875" s="901"/>
      <c r="B875" s="1280"/>
      <c r="C875" s="1281"/>
      <c r="D875" s="1284" t="s">
        <v>213</v>
      </c>
      <c r="E875" s="1285"/>
      <c r="F875" s="343">
        <f>F876</f>
        <v>14000000</v>
      </c>
    </row>
    <row r="876" spans="1:6" ht="17.100000000000001" customHeight="1">
      <c r="A876" s="901"/>
      <c r="B876" s="1282"/>
      <c r="C876" s="1283"/>
      <c r="D876" s="1286" t="s">
        <v>488</v>
      </c>
      <c r="E876" s="1294"/>
      <c r="F876" s="347">
        <f>F877</f>
        <v>14000000</v>
      </c>
    </row>
    <row r="877" spans="1:6" ht="27.75" customHeight="1">
      <c r="A877" s="901"/>
      <c r="B877" s="1303"/>
      <c r="C877" s="1308"/>
      <c r="D877" s="472" t="s">
        <v>489</v>
      </c>
      <c r="E877" s="346" t="s">
        <v>490</v>
      </c>
      <c r="F877" s="347">
        <f>14000000</f>
        <v>14000000</v>
      </c>
    </row>
    <row r="878" spans="1:6" ht="26.25" customHeight="1">
      <c r="A878" s="901"/>
      <c r="B878" s="1278" t="s">
        <v>491</v>
      </c>
      <c r="C878" s="1279"/>
      <c r="D878" s="340"/>
      <c r="E878" s="341" t="s">
        <v>492</v>
      </c>
      <c r="F878" s="342">
        <f>F879</f>
        <v>9224429</v>
      </c>
    </row>
    <row r="879" spans="1:6" ht="17.100000000000001" customHeight="1">
      <c r="A879" s="904"/>
      <c r="B879" s="1280"/>
      <c r="C879" s="1281"/>
      <c r="D879" s="1284" t="s">
        <v>213</v>
      </c>
      <c r="E879" s="1285"/>
      <c r="F879" s="343">
        <f>F880</f>
        <v>9224429</v>
      </c>
    </row>
    <row r="880" spans="1:6" ht="17.100000000000001" customHeight="1">
      <c r="A880" s="904"/>
      <c r="B880" s="1282"/>
      <c r="C880" s="1283"/>
      <c r="D880" s="1286" t="s">
        <v>493</v>
      </c>
      <c r="E880" s="1294"/>
      <c r="F880" s="347">
        <f>F881</f>
        <v>9224429</v>
      </c>
    </row>
    <row r="881" spans="1:6" ht="17.100000000000001" customHeight="1">
      <c r="A881" s="901"/>
      <c r="B881" s="1303"/>
      <c r="C881" s="1308"/>
      <c r="D881" s="472" t="s">
        <v>494</v>
      </c>
      <c r="E881" s="346" t="s">
        <v>495</v>
      </c>
      <c r="F881" s="347">
        <f>9224429</f>
        <v>9224429</v>
      </c>
    </row>
    <row r="882" spans="1:6" ht="17.100000000000001" customHeight="1">
      <c r="A882" s="900" t="s">
        <v>496</v>
      </c>
      <c r="B882" s="1276"/>
      <c r="C882" s="1277"/>
      <c r="D882" s="337"/>
      <c r="E882" s="338" t="s">
        <v>497</v>
      </c>
      <c r="F882" s="339">
        <f>F883</f>
        <v>38870000</v>
      </c>
    </row>
    <row r="883" spans="1:6" ht="17.100000000000001" customHeight="1">
      <c r="A883" s="901"/>
      <c r="B883" s="1278" t="s">
        <v>498</v>
      </c>
      <c r="C883" s="1279"/>
      <c r="D883" s="340"/>
      <c r="E883" s="341" t="s">
        <v>499</v>
      </c>
      <c r="F883" s="342">
        <f>F884+F889</f>
        <v>38870000</v>
      </c>
    </row>
    <row r="884" spans="1:6" ht="17.100000000000001" customHeight="1">
      <c r="A884" s="901"/>
      <c r="B884" s="364"/>
      <c r="C884" s="365"/>
      <c r="D884" s="1284" t="s">
        <v>213</v>
      </c>
      <c r="E884" s="1285"/>
      <c r="F884" s="343">
        <f>F885</f>
        <v>15230000</v>
      </c>
    </row>
    <row r="885" spans="1:6" ht="17.100000000000001" customHeight="1">
      <c r="A885" s="901"/>
      <c r="B885" s="887"/>
      <c r="C885" s="366"/>
      <c r="D885" s="1286" t="s">
        <v>214</v>
      </c>
      <c r="E885" s="1294"/>
      <c r="F885" s="347">
        <f>F886</f>
        <v>15230000</v>
      </c>
    </row>
    <row r="886" spans="1:6" ht="17.100000000000001" customHeight="1">
      <c r="A886" s="901"/>
      <c r="B886" s="887"/>
      <c r="C886" s="1302"/>
      <c r="D886" s="1292" t="s">
        <v>226</v>
      </c>
      <c r="E886" s="1293"/>
      <c r="F886" s="347">
        <f>F887</f>
        <v>15230000</v>
      </c>
    </row>
    <row r="887" spans="1:6" ht="17.100000000000001" customHeight="1">
      <c r="A887" s="901"/>
      <c r="B887" s="367"/>
      <c r="C887" s="1302"/>
      <c r="D887" s="353" t="s">
        <v>500</v>
      </c>
      <c r="E887" s="354" t="s">
        <v>501</v>
      </c>
      <c r="F887" s="355">
        <f>15350000+80000-150000-50000</f>
        <v>15230000</v>
      </c>
    </row>
    <row r="888" spans="1:6" ht="17.100000000000001" customHeight="1">
      <c r="A888" s="901"/>
      <c r="B888" s="469"/>
      <c r="C888" s="1302"/>
      <c r="D888" s="1410"/>
      <c r="E888" s="1411"/>
      <c r="F888" s="1412"/>
    </row>
    <row r="889" spans="1:6" ht="17.100000000000001" customHeight="1">
      <c r="A889" s="901"/>
      <c r="B889" s="469"/>
      <c r="C889" s="1302"/>
      <c r="D889" s="1314" t="s">
        <v>281</v>
      </c>
      <c r="E889" s="1315"/>
      <c r="F889" s="358">
        <f>F890</f>
        <v>23640000</v>
      </c>
    </row>
    <row r="890" spans="1:6" ht="17.100000000000001" customHeight="1">
      <c r="A890" s="901"/>
      <c r="B890" s="469"/>
      <c r="C890" s="1302"/>
      <c r="D890" s="1290" t="s">
        <v>904</v>
      </c>
      <c r="E890" s="1367"/>
      <c r="F890" s="347">
        <f>F891</f>
        <v>23640000</v>
      </c>
    </row>
    <row r="891" spans="1:6" ht="17.100000000000001" customHeight="1">
      <c r="A891" s="901"/>
      <c r="B891" s="469"/>
      <c r="C891" s="1302"/>
      <c r="D891" s="352" t="s">
        <v>502</v>
      </c>
      <c r="E891" s="356" t="s">
        <v>503</v>
      </c>
      <c r="F891" s="347">
        <f>23640000</f>
        <v>23640000</v>
      </c>
    </row>
    <row r="892" spans="1:6">
      <c r="A892" s="900" t="s">
        <v>504</v>
      </c>
      <c r="B892" s="1276"/>
      <c r="C892" s="1277"/>
      <c r="D892" s="337"/>
      <c r="E892" s="338" t="s">
        <v>505</v>
      </c>
      <c r="F892" s="339">
        <f>F893+F901+F926+F943+F960+F996+F1023+F1079+F1114</f>
        <v>57703317</v>
      </c>
    </row>
    <row r="893" spans="1:6" ht="17.100000000000001" hidden="1" customHeight="1">
      <c r="A893" s="905"/>
      <c r="B893" s="411"/>
      <c r="C893" s="412" t="s">
        <v>506</v>
      </c>
      <c r="D893" s="413"/>
      <c r="E893" s="414" t="s">
        <v>507</v>
      </c>
      <c r="F893" s="376">
        <f>F894+F898</f>
        <v>0</v>
      </c>
    </row>
    <row r="894" spans="1:6" ht="17.100000000000001" hidden="1" customHeight="1">
      <c r="A894" s="905"/>
      <c r="B894" s="411"/>
      <c r="C894" s="1413"/>
      <c r="D894" s="1284" t="s">
        <v>213</v>
      </c>
      <c r="E894" s="1285"/>
      <c r="F894" s="343">
        <f>F895</f>
        <v>0</v>
      </c>
    </row>
    <row r="895" spans="1:6" ht="17.100000000000001" hidden="1" customHeight="1">
      <c r="A895" s="905"/>
      <c r="B895" s="411"/>
      <c r="C895" s="1414"/>
      <c r="D895" s="1290" t="s">
        <v>286</v>
      </c>
      <c r="E895" s="1291"/>
      <c r="F895" s="347">
        <f>F896</f>
        <v>0</v>
      </c>
    </row>
    <row r="896" spans="1:6" ht="38.25" hidden="1">
      <c r="A896" s="905"/>
      <c r="B896" s="411"/>
      <c r="C896" s="1414"/>
      <c r="D896" s="373" t="s">
        <v>348</v>
      </c>
      <c r="E896" s="346" t="s">
        <v>349</v>
      </c>
      <c r="F896" s="347"/>
    </row>
    <row r="897" spans="1:7" ht="17.100000000000001" hidden="1" customHeight="1">
      <c r="A897" s="905"/>
      <c r="B897" s="411"/>
      <c r="C897" s="1414"/>
      <c r="D897" s="1282"/>
      <c r="E897" s="1302"/>
      <c r="F897" s="1399"/>
    </row>
    <row r="898" spans="1:7" ht="17.100000000000001" hidden="1" customHeight="1">
      <c r="A898" s="905"/>
      <c r="B898" s="411"/>
      <c r="C898" s="1414"/>
      <c r="D898" s="1296" t="s">
        <v>281</v>
      </c>
      <c r="E898" s="1297"/>
      <c r="F898" s="343">
        <f>F899</f>
        <v>0</v>
      </c>
    </row>
    <row r="899" spans="1:7" ht="17.100000000000001" hidden="1" customHeight="1">
      <c r="A899" s="905"/>
      <c r="B899" s="411"/>
      <c r="C899" s="1414"/>
      <c r="D899" s="1290" t="s">
        <v>267</v>
      </c>
      <c r="E899" s="1291"/>
      <c r="F899" s="347">
        <f>F900</f>
        <v>0</v>
      </c>
    </row>
    <row r="900" spans="1:7" ht="0.75" customHeight="1">
      <c r="A900" s="905"/>
      <c r="B900" s="411"/>
      <c r="C900" s="1414"/>
      <c r="D900" s="352" t="s">
        <v>350</v>
      </c>
      <c r="E900" s="346" t="s">
        <v>349</v>
      </c>
      <c r="F900" s="347"/>
      <c r="G900" s="368"/>
    </row>
    <row r="901" spans="1:7" ht="17.100000000000001" customHeight="1">
      <c r="A901" s="905"/>
      <c r="B901" s="1278" t="s">
        <v>508</v>
      </c>
      <c r="C901" s="1279"/>
      <c r="D901" s="340"/>
      <c r="E901" s="341" t="s">
        <v>509</v>
      </c>
      <c r="F901" s="342">
        <f>F902</f>
        <v>5281587</v>
      </c>
    </row>
    <row r="902" spans="1:7" ht="17.100000000000001" customHeight="1">
      <c r="A902" s="901"/>
      <c r="B902" s="883"/>
      <c r="C902" s="462"/>
      <c r="D902" s="1284" t="s">
        <v>213</v>
      </c>
      <c r="E902" s="1285"/>
      <c r="F902" s="343">
        <f>F903+F924</f>
        <v>5281587</v>
      </c>
    </row>
    <row r="903" spans="1:7" ht="17.100000000000001" customHeight="1">
      <c r="A903" s="901"/>
      <c r="B903" s="883"/>
      <c r="C903" s="462"/>
      <c r="D903" s="1286" t="s">
        <v>214</v>
      </c>
      <c r="E903" s="1294"/>
      <c r="F903" s="347">
        <f>F904+F910</f>
        <v>5146778</v>
      </c>
    </row>
    <row r="904" spans="1:7" ht="17.100000000000001" customHeight="1">
      <c r="A904" s="901"/>
      <c r="B904" s="883"/>
      <c r="C904" s="462"/>
      <c r="D904" s="1288" t="s">
        <v>215</v>
      </c>
      <c r="E904" s="1295"/>
      <c r="F904" s="347">
        <f>SUM(F905:F908)</f>
        <v>4836532</v>
      </c>
    </row>
    <row r="905" spans="1:7" ht="17.100000000000001" customHeight="1">
      <c r="A905" s="901"/>
      <c r="B905" s="1267"/>
      <c r="C905" s="1268"/>
      <c r="D905" s="472" t="s">
        <v>216</v>
      </c>
      <c r="E905" s="346" t="s">
        <v>217</v>
      </c>
      <c r="F905" s="347">
        <f>3676294</f>
        <v>3676294</v>
      </c>
    </row>
    <row r="906" spans="1:7" ht="17.100000000000001" customHeight="1">
      <c r="A906" s="901"/>
      <c r="B906" s="1267"/>
      <c r="C906" s="1268"/>
      <c r="D906" s="472" t="s">
        <v>218</v>
      </c>
      <c r="E906" s="346" t="s">
        <v>219</v>
      </c>
      <c r="F906" s="347">
        <f>335575</f>
        <v>335575</v>
      </c>
    </row>
    <row r="907" spans="1:7" ht="17.100000000000001" customHeight="1">
      <c r="A907" s="901"/>
      <c r="B907" s="1267"/>
      <c r="C907" s="1268"/>
      <c r="D907" s="472" t="s">
        <v>220</v>
      </c>
      <c r="E907" s="346" t="s">
        <v>221</v>
      </c>
      <c r="F907" s="347">
        <f>723662</f>
        <v>723662</v>
      </c>
    </row>
    <row r="908" spans="1:7" ht="17.100000000000001" customHeight="1">
      <c r="A908" s="901"/>
      <c r="B908" s="1267"/>
      <c r="C908" s="1268"/>
      <c r="D908" s="472" t="s">
        <v>222</v>
      </c>
      <c r="E908" s="346" t="s">
        <v>223</v>
      </c>
      <c r="F908" s="347">
        <f>101001</f>
        <v>101001</v>
      </c>
    </row>
    <row r="909" spans="1:7" ht="17.100000000000001" customHeight="1">
      <c r="A909" s="901"/>
      <c r="B909" s="883"/>
      <c r="C909" s="462"/>
      <c r="D909" s="1267"/>
      <c r="E909" s="1269"/>
      <c r="F909" s="1270"/>
    </row>
    <row r="910" spans="1:7" ht="17.100000000000001" customHeight="1">
      <c r="A910" s="901"/>
      <c r="B910" s="883"/>
      <c r="C910" s="462"/>
      <c r="D910" s="1292" t="s">
        <v>226</v>
      </c>
      <c r="E910" s="1293"/>
      <c r="F910" s="347">
        <f>SUM(F911:F922)</f>
        <v>310246</v>
      </c>
    </row>
    <row r="911" spans="1:7" ht="17.100000000000001" customHeight="1">
      <c r="A911" s="901"/>
      <c r="B911" s="1267"/>
      <c r="C911" s="1268"/>
      <c r="D911" s="472" t="s">
        <v>229</v>
      </c>
      <c r="E911" s="346" t="s">
        <v>230</v>
      </c>
      <c r="F911" s="347">
        <f>18099</f>
        <v>18099</v>
      </c>
    </row>
    <row r="912" spans="1:7" ht="17.100000000000001" customHeight="1">
      <c r="A912" s="901"/>
      <c r="B912" s="1267"/>
      <c r="C912" s="1268"/>
      <c r="D912" s="472" t="s">
        <v>405</v>
      </c>
      <c r="E912" s="346" t="s">
        <v>406</v>
      </c>
      <c r="F912" s="347">
        <f>8640</f>
        <v>8640</v>
      </c>
    </row>
    <row r="913" spans="1:6" ht="17.100000000000001" customHeight="1">
      <c r="A913" s="901"/>
      <c r="B913" s="1267"/>
      <c r="C913" s="1268"/>
      <c r="D913" s="472" t="s">
        <v>233</v>
      </c>
      <c r="E913" s="346" t="s">
        <v>234</v>
      </c>
      <c r="F913" s="347">
        <f>2500</f>
        <v>2500</v>
      </c>
    </row>
    <row r="914" spans="1:6" ht="17.100000000000001" customHeight="1">
      <c r="A914" s="901"/>
      <c r="B914" s="1267"/>
      <c r="C914" s="1268"/>
      <c r="D914" s="472" t="s">
        <v>235</v>
      </c>
      <c r="E914" s="346" t="s">
        <v>236</v>
      </c>
      <c r="F914" s="347">
        <f>2750</f>
        <v>2750</v>
      </c>
    </row>
    <row r="915" spans="1:6" ht="17.100000000000001" customHeight="1">
      <c r="A915" s="901"/>
      <c r="B915" s="1267"/>
      <c r="C915" s="1268"/>
      <c r="D915" s="472" t="s">
        <v>237</v>
      </c>
      <c r="E915" s="346" t="s">
        <v>238</v>
      </c>
      <c r="F915" s="347">
        <f>16200</f>
        <v>16200</v>
      </c>
    </row>
    <row r="916" spans="1:6" ht="17.100000000000001" customHeight="1">
      <c r="A916" s="901"/>
      <c r="B916" s="1267"/>
      <c r="C916" s="1268"/>
      <c r="D916" s="472" t="s">
        <v>239</v>
      </c>
      <c r="E916" s="346" t="s">
        <v>240</v>
      </c>
      <c r="F916" s="347">
        <f>6000</f>
        <v>6000</v>
      </c>
    </row>
    <row r="917" spans="1:6" ht="25.5" customHeight="1">
      <c r="A917" s="901"/>
      <c r="B917" s="1267"/>
      <c r="C917" s="1268"/>
      <c r="D917" s="472" t="s">
        <v>241</v>
      </c>
      <c r="E917" s="346" t="s">
        <v>242</v>
      </c>
      <c r="F917" s="347">
        <f>1500</f>
        <v>1500</v>
      </c>
    </row>
    <row r="918" spans="1:6" ht="27.75" customHeight="1">
      <c r="A918" s="901"/>
      <c r="B918" s="1267"/>
      <c r="C918" s="1268"/>
      <c r="D918" s="472" t="s">
        <v>243</v>
      </c>
      <c r="E918" s="346" t="s">
        <v>244</v>
      </c>
      <c r="F918" s="347">
        <f>3600</f>
        <v>3600</v>
      </c>
    </row>
    <row r="919" spans="1:6" ht="17.100000000000001" customHeight="1">
      <c r="A919" s="901"/>
      <c r="B919" s="883"/>
      <c r="C919" s="462"/>
      <c r="D919" s="472" t="s">
        <v>247</v>
      </c>
      <c r="E919" s="346" t="s">
        <v>248</v>
      </c>
      <c r="F919" s="347">
        <f>64706</f>
        <v>64706</v>
      </c>
    </row>
    <row r="920" spans="1:6" ht="17.100000000000001" customHeight="1">
      <c r="A920" s="901"/>
      <c r="B920" s="1267"/>
      <c r="C920" s="1268"/>
      <c r="D920" s="472" t="s">
        <v>249</v>
      </c>
      <c r="E920" s="346" t="s">
        <v>250</v>
      </c>
      <c r="F920" s="347">
        <f>3500</f>
        <v>3500</v>
      </c>
    </row>
    <row r="921" spans="1:6" ht="17.100000000000001" customHeight="1">
      <c r="A921" s="901"/>
      <c r="B921" s="1267"/>
      <c r="C921" s="1268"/>
      <c r="D921" s="472" t="s">
        <v>253</v>
      </c>
      <c r="E921" s="346" t="s">
        <v>254</v>
      </c>
      <c r="F921" s="347">
        <f>181301</f>
        <v>181301</v>
      </c>
    </row>
    <row r="922" spans="1:6" ht="17.100000000000001" customHeight="1">
      <c r="A922" s="901"/>
      <c r="B922" s="1267"/>
      <c r="C922" s="1268"/>
      <c r="D922" s="472" t="s">
        <v>261</v>
      </c>
      <c r="E922" s="346" t="s">
        <v>262</v>
      </c>
      <c r="F922" s="347">
        <f>1450</f>
        <v>1450</v>
      </c>
    </row>
    <row r="923" spans="1:6" ht="17.100000000000001" customHeight="1">
      <c r="A923" s="901"/>
      <c r="B923" s="1267"/>
      <c r="C923" s="1268"/>
      <c r="D923" s="1267"/>
      <c r="E923" s="1269"/>
      <c r="F923" s="1270"/>
    </row>
    <row r="924" spans="1:6" ht="17.100000000000001" customHeight="1">
      <c r="A924" s="901"/>
      <c r="B924" s="1267"/>
      <c r="C924" s="1268"/>
      <c r="D924" s="1290" t="s">
        <v>467</v>
      </c>
      <c r="E924" s="1291"/>
      <c r="F924" s="347">
        <f>F925</f>
        <v>134809</v>
      </c>
    </row>
    <row r="925" spans="1:6" ht="17.100000000000001" customHeight="1">
      <c r="A925" s="901"/>
      <c r="B925" s="1267"/>
      <c r="C925" s="1268"/>
      <c r="D925" s="472" t="s">
        <v>264</v>
      </c>
      <c r="E925" s="346" t="s">
        <v>265</v>
      </c>
      <c r="F925" s="347">
        <f>134809</f>
        <v>134809</v>
      </c>
    </row>
    <row r="926" spans="1:6" ht="17.100000000000001" customHeight="1">
      <c r="A926" s="901"/>
      <c r="B926" s="1278" t="s">
        <v>510</v>
      </c>
      <c r="C926" s="1279"/>
      <c r="D926" s="340"/>
      <c r="E926" s="341" t="s">
        <v>511</v>
      </c>
      <c r="F926" s="342">
        <f>F927</f>
        <v>2426021</v>
      </c>
    </row>
    <row r="927" spans="1:6" ht="17.100000000000001" customHeight="1">
      <c r="A927" s="901"/>
      <c r="B927" s="1267"/>
      <c r="C927" s="1268"/>
      <c r="D927" s="1284" t="s">
        <v>213</v>
      </c>
      <c r="E927" s="1285"/>
      <c r="F927" s="343">
        <f>F928+F941</f>
        <v>2426021</v>
      </c>
    </row>
    <row r="928" spans="1:6" ht="17.100000000000001" customHeight="1">
      <c r="A928" s="901"/>
      <c r="B928" s="1267"/>
      <c r="C928" s="1268"/>
      <c r="D928" s="1286" t="s">
        <v>214</v>
      </c>
      <c r="E928" s="1294"/>
      <c r="F928" s="347">
        <f>F929+F935</f>
        <v>2390330</v>
      </c>
    </row>
    <row r="929" spans="1:6" ht="17.100000000000001" customHeight="1">
      <c r="A929" s="901"/>
      <c r="B929" s="1267"/>
      <c r="C929" s="1268"/>
      <c r="D929" s="1288" t="s">
        <v>215</v>
      </c>
      <c r="E929" s="1295"/>
      <c r="F929" s="347">
        <f>SUM(F930:F933)</f>
        <v>2297040</v>
      </c>
    </row>
    <row r="930" spans="1:6" ht="17.100000000000001" customHeight="1">
      <c r="A930" s="901"/>
      <c r="B930" s="1267"/>
      <c r="C930" s="1268"/>
      <c r="D930" s="472" t="s">
        <v>216</v>
      </c>
      <c r="E930" s="346" t="s">
        <v>217</v>
      </c>
      <c r="F930" s="347">
        <f>1760368</f>
        <v>1760368</v>
      </c>
    </row>
    <row r="931" spans="1:6" ht="17.100000000000001" customHeight="1">
      <c r="A931" s="901"/>
      <c r="B931" s="1267"/>
      <c r="C931" s="1268"/>
      <c r="D931" s="472" t="s">
        <v>218</v>
      </c>
      <c r="E931" s="346" t="s">
        <v>219</v>
      </c>
      <c r="F931" s="347">
        <f>144811</f>
        <v>144811</v>
      </c>
    </row>
    <row r="932" spans="1:6" ht="17.100000000000001" customHeight="1">
      <c r="A932" s="901"/>
      <c r="B932" s="1267"/>
      <c r="C932" s="1268"/>
      <c r="D932" s="472" t="s">
        <v>220</v>
      </c>
      <c r="E932" s="346" t="s">
        <v>221</v>
      </c>
      <c r="F932" s="347">
        <f>344285</f>
        <v>344285</v>
      </c>
    </row>
    <row r="933" spans="1:6" ht="17.100000000000001" customHeight="1">
      <c r="A933" s="901"/>
      <c r="B933" s="1267"/>
      <c r="C933" s="1268"/>
      <c r="D933" s="472" t="s">
        <v>222</v>
      </c>
      <c r="E933" s="346" t="s">
        <v>223</v>
      </c>
      <c r="F933" s="347">
        <f>47576</f>
        <v>47576</v>
      </c>
    </row>
    <row r="934" spans="1:6" ht="17.100000000000001" customHeight="1">
      <c r="A934" s="901"/>
      <c r="B934" s="1267"/>
      <c r="C934" s="1268"/>
      <c r="D934" s="1267"/>
      <c r="E934" s="1269"/>
      <c r="F934" s="1270"/>
    </row>
    <row r="935" spans="1:6" ht="17.100000000000001" customHeight="1">
      <c r="A935" s="901"/>
      <c r="B935" s="1267"/>
      <c r="C935" s="1268"/>
      <c r="D935" s="1292" t="s">
        <v>226</v>
      </c>
      <c r="E935" s="1293"/>
      <c r="F935" s="347">
        <f>SUM(F936:F939)</f>
        <v>93290</v>
      </c>
    </row>
    <row r="936" spans="1:6" ht="17.100000000000001" customHeight="1">
      <c r="A936" s="901"/>
      <c r="B936" s="1267"/>
      <c r="C936" s="1268"/>
      <c r="D936" s="472" t="s">
        <v>229</v>
      </c>
      <c r="E936" s="346" t="s">
        <v>230</v>
      </c>
      <c r="F936" s="347">
        <f>2890</f>
        <v>2890</v>
      </c>
    </row>
    <row r="937" spans="1:6" ht="17.100000000000001" customHeight="1">
      <c r="A937" s="901"/>
      <c r="B937" s="1267"/>
      <c r="C937" s="1268"/>
      <c r="D937" s="472" t="s">
        <v>405</v>
      </c>
      <c r="E937" s="346" t="s">
        <v>406</v>
      </c>
      <c r="F937" s="347">
        <f>2300</f>
        <v>2300</v>
      </c>
    </row>
    <row r="938" spans="1:6" ht="17.100000000000001" customHeight="1">
      <c r="A938" s="901"/>
      <c r="B938" s="1267"/>
      <c r="C938" s="1268"/>
      <c r="D938" s="472" t="s">
        <v>235</v>
      </c>
      <c r="E938" s="346" t="s">
        <v>236</v>
      </c>
      <c r="F938" s="347">
        <f>400</f>
        <v>400</v>
      </c>
    </row>
    <row r="939" spans="1:6" ht="17.100000000000001" customHeight="1">
      <c r="A939" s="901"/>
      <c r="B939" s="1267"/>
      <c r="C939" s="1268"/>
      <c r="D939" s="472" t="s">
        <v>253</v>
      </c>
      <c r="E939" s="346" t="s">
        <v>254</v>
      </c>
      <c r="F939" s="347">
        <f>87700</f>
        <v>87700</v>
      </c>
    </row>
    <row r="940" spans="1:6" ht="17.100000000000001" customHeight="1">
      <c r="A940" s="901"/>
      <c r="B940" s="1267"/>
      <c r="C940" s="1268"/>
      <c r="D940" s="1267"/>
      <c r="E940" s="1269"/>
      <c r="F940" s="1270"/>
    </row>
    <row r="941" spans="1:6" ht="17.100000000000001" customHeight="1">
      <c r="A941" s="901"/>
      <c r="B941" s="1267"/>
      <c r="C941" s="1268"/>
      <c r="D941" s="1290" t="s">
        <v>467</v>
      </c>
      <c r="E941" s="1291"/>
      <c r="F941" s="347">
        <f>F942</f>
        <v>35691</v>
      </c>
    </row>
    <row r="942" spans="1:6" ht="17.100000000000001" customHeight="1">
      <c r="A942" s="901"/>
      <c r="B942" s="1299"/>
      <c r="C942" s="1300"/>
      <c r="D942" s="472" t="s">
        <v>264</v>
      </c>
      <c r="E942" s="346" t="s">
        <v>265</v>
      </c>
      <c r="F942" s="347">
        <f>35691</f>
        <v>35691</v>
      </c>
    </row>
    <row r="943" spans="1:6" ht="17.100000000000001" customHeight="1">
      <c r="A943" s="901"/>
      <c r="B943" s="1278" t="s">
        <v>512</v>
      </c>
      <c r="C943" s="1279"/>
      <c r="D943" s="340"/>
      <c r="E943" s="341" t="s">
        <v>513</v>
      </c>
      <c r="F943" s="342">
        <f>F944</f>
        <v>722832</v>
      </c>
    </row>
    <row r="944" spans="1:6" ht="17.100000000000001" customHeight="1">
      <c r="A944" s="901"/>
      <c r="B944" s="1280"/>
      <c r="C944" s="1281"/>
      <c r="D944" s="1284" t="s">
        <v>213</v>
      </c>
      <c r="E944" s="1285"/>
      <c r="F944" s="343">
        <f>F945+F958</f>
        <v>722832</v>
      </c>
    </row>
    <row r="945" spans="1:6" ht="17.100000000000001" customHeight="1">
      <c r="A945" s="901"/>
      <c r="B945" s="1282"/>
      <c r="C945" s="1283"/>
      <c r="D945" s="1286" t="s">
        <v>214</v>
      </c>
      <c r="E945" s="1294"/>
      <c r="F945" s="347">
        <f>F946+F952</f>
        <v>722258</v>
      </c>
    </row>
    <row r="946" spans="1:6" ht="17.100000000000001" customHeight="1">
      <c r="A946" s="901"/>
      <c r="B946" s="1282"/>
      <c r="C946" s="1283"/>
      <c r="D946" s="1288" t="s">
        <v>215</v>
      </c>
      <c r="E946" s="1295"/>
      <c r="F946" s="347">
        <f>SUM(F947:F950)</f>
        <v>680507</v>
      </c>
    </row>
    <row r="947" spans="1:6" ht="17.100000000000001" customHeight="1">
      <c r="A947" s="901"/>
      <c r="B947" s="1282"/>
      <c r="C947" s="1283"/>
      <c r="D947" s="472" t="s">
        <v>216</v>
      </c>
      <c r="E947" s="346" t="s">
        <v>217</v>
      </c>
      <c r="F947" s="347">
        <f>521365</f>
        <v>521365</v>
      </c>
    </row>
    <row r="948" spans="1:6" ht="17.100000000000001" customHeight="1">
      <c r="A948" s="901"/>
      <c r="B948" s="1282"/>
      <c r="C948" s="1283"/>
      <c r="D948" s="472" t="s">
        <v>218</v>
      </c>
      <c r="E948" s="346" t="s">
        <v>219</v>
      </c>
      <c r="F948" s="347">
        <f>43969</f>
        <v>43969</v>
      </c>
    </row>
    <row r="949" spans="1:6" ht="17.100000000000001" customHeight="1">
      <c r="A949" s="901"/>
      <c r="B949" s="1282"/>
      <c r="C949" s="1283"/>
      <c r="D949" s="472" t="s">
        <v>220</v>
      </c>
      <c r="E949" s="346" t="s">
        <v>221</v>
      </c>
      <c r="F949" s="347">
        <f>101312</f>
        <v>101312</v>
      </c>
    </row>
    <row r="950" spans="1:6" ht="17.100000000000001" customHeight="1">
      <c r="A950" s="901"/>
      <c r="B950" s="1282"/>
      <c r="C950" s="1283"/>
      <c r="D950" s="472" t="s">
        <v>222</v>
      </c>
      <c r="E950" s="346" t="s">
        <v>223</v>
      </c>
      <c r="F950" s="347">
        <f>13861</f>
        <v>13861</v>
      </c>
    </row>
    <row r="951" spans="1:6" ht="17.100000000000001" customHeight="1">
      <c r="A951" s="901"/>
      <c r="B951" s="1282"/>
      <c r="C951" s="1283"/>
      <c r="D951" s="1267"/>
      <c r="E951" s="1269"/>
      <c r="F951" s="1270"/>
    </row>
    <row r="952" spans="1:6" ht="17.100000000000001" customHeight="1">
      <c r="A952" s="901"/>
      <c r="B952" s="1282"/>
      <c r="C952" s="1283"/>
      <c r="D952" s="1292" t="s">
        <v>226</v>
      </c>
      <c r="E952" s="1293"/>
      <c r="F952" s="347">
        <f>SUM(F953:F956)</f>
        <v>41751</v>
      </c>
    </row>
    <row r="953" spans="1:6" ht="17.100000000000001" customHeight="1">
      <c r="A953" s="901"/>
      <c r="B953" s="1282"/>
      <c r="C953" s="1283"/>
      <c r="D953" s="472" t="s">
        <v>229</v>
      </c>
      <c r="E953" s="346" t="s">
        <v>230</v>
      </c>
      <c r="F953" s="347">
        <f>4100</f>
        <v>4100</v>
      </c>
    </row>
    <row r="954" spans="1:6" ht="17.100000000000001" customHeight="1">
      <c r="A954" s="901"/>
      <c r="B954" s="1282"/>
      <c r="C954" s="1283"/>
      <c r="D954" s="472" t="s">
        <v>405</v>
      </c>
      <c r="E954" s="346" t="s">
        <v>406</v>
      </c>
      <c r="F954" s="347">
        <f>6400</f>
        <v>6400</v>
      </c>
    </row>
    <row r="955" spans="1:6" ht="17.100000000000001" customHeight="1">
      <c r="A955" s="901"/>
      <c r="B955" s="1282"/>
      <c r="C955" s="1283"/>
      <c r="D955" s="472" t="s">
        <v>235</v>
      </c>
      <c r="E955" s="346" t="s">
        <v>236</v>
      </c>
      <c r="F955" s="347">
        <f>300</f>
        <v>300</v>
      </c>
    </row>
    <row r="956" spans="1:6" ht="17.100000000000001" customHeight="1">
      <c r="A956" s="901"/>
      <c r="B956" s="1282"/>
      <c r="C956" s="1283"/>
      <c r="D956" s="472" t="s">
        <v>253</v>
      </c>
      <c r="E956" s="346" t="s">
        <v>254</v>
      </c>
      <c r="F956" s="347">
        <f>30951</f>
        <v>30951</v>
      </c>
    </row>
    <row r="957" spans="1:6" ht="17.100000000000001" customHeight="1">
      <c r="A957" s="901"/>
      <c r="B957" s="1319"/>
      <c r="C957" s="1363"/>
      <c r="D957" s="1267"/>
      <c r="E957" s="1323"/>
      <c r="F957" s="1324"/>
    </row>
    <row r="958" spans="1:6" ht="17.100000000000001" customHeight="1">
      <c r="A958" s="901"/>
      <c r="B958" s="1319"/>
      <c r="C958" s="1363"/>
      <c r="D958" s="1290" t="s">
        <v>467</v>
      </c>
      <c r="E958" s="1365"/>
      <c r="F958" s="347">
        <f>F959</f>
        <v>574</v>
      </c>
    </row>
    <row r="959" spans="1:6" ht="17.100000000000001" customHeight="1">
      <c r="A959" s="901"/>
      <c r="B959" s="1321"/>
      <c r="C959" s="1343"/>
      <c r="D959" s="472" t="s">
        <v>264</v>
      </c>
      <c r="E959" s="346" t="s">
        <v>265</v>
      </c>
      <c r="F959" s="347">
        <f>574</f>
        <v>574</v>
      </c>
    </row>
    <row r="960" spans="1:6" ht="17.100000000000001" customHeight="1">
      <c r="A960" s="901"/>
      <c r="B960" s="1278" t="s">
        <v>514</v>
      </c>
      <c r="C960" s="1279"/>
      <c r="D960" s="340"/>
      <c r="E960" s="341" t="s">
        <v>515</v>
      </c>
      <c r="F960" s="342">
        <f>SUM(F961+F993)</f>
        <v>19557241</v>
      </c>
    </row>
    <row r="961" spans="1:6" ht="17.100000000000001" customHeight="1">
      <c r="A961" s="901"/>
      <c r="B961" s="883"/>
      <c r="C961" s="462"/>
      <c r="D961" s="1284" t="s">
        <v>213</v>
      </c>
      <c r="E961" s="1285"/>
      <c r="F961" s="343">
        <f>F962+F990</f>
        <v>19535941</v>
      </c>
    </row>
    <row r="962" spans="1:6" ht="17.100000000000001" customHeight="1">
      <c r="A962" s="901"/>
      <c r="B962" s="883"/>
      <c r="C962" s="462"/>
      <c r="D962" s="1286" t="s">
        <v>214</v>
      </c>
      <c r="E962" s="1294"/>
      <c r="F962" s="347">
        <f>F963+F970</f>
        <v>19482460</v>
      </c>
    </row>
    <row r="963" spans="1:6" ht="17.100000000000001" customHeight="1">
      <c r="A963" s="901"/>
      <c r="B963" s="883"/>
      <c r="C963" s="462"/>
      <c r="D963" s="1288" t="s">
        <v>215</v>
      </c>
      <c r="E963" s="1295"/>
      <c r="F963" s="347">
        <f>SUM(F964:F968)</f>
        <v>17151891</v>
      </c>
    </row>
    <row r="964" spans="1:6" ht="17.100000000000001" customHeight="1">
      <c r="A964" s="901"/>
      <c r="B964" s="1267"/>
      <c r="C964" s="1268"/>
      <c r="D964" s="472" t="s">
        <v>216</v>
      </c>
      <c r="E964" s="346" t="s">
        <v>217</v>
      </c>
      <c r="F964" s="347">
        <f>13321229</f>
        <v>13321229</v>
      </c>
    </row>
    <row r="965" spans="1:6" ht="17.100000000000001" customHeight="1">
      <c r="A965" s="901"/>
      <c r="B965" s="1267"/>
      <c r="C965" s="1268"/>
      <c r="D965" s="472" t="s">
        <v>218</v>
      </c>
      <c r="E965" s="346" t="s">
        <v>219</v>
      </c>
      <c r="F965" s="347">
        <v>1041699</v>
      </c>
    </row>
    <row r="966" spans="1:6" ht="17.100000000000001" customHeight="1">
      <c r="A966" s="901"/>
      <c r="B966" s="1267"/>
      <c r="C966" s="1268"/>
      <c r="D966" s="472" t="s">
        <v>220</v>
      </c>
      <c r="E966" s="346" t="s">
        <v>221</v>
      </c>
      <c r="F966" s="347">
        <f>2441079</f>
        <v>2441079</v>
      </c>
    </row>
    <row r="967" spans="1:6" ht="17.100000000000001" customHeight="1">
      <c r="A967" s="901"/>
      <c r="B967" s="1267"/>
      <c r="C967" s="1268"/>
      <c r="D967" s="472" t="s">
        <v>222</v>
      </c>
      <c r="E967" s="346" t="s">
        <v>223</v>
      </c>
      <c r="F967" s="347">
        <f>319564</f>
        <v>319564</v>
      </c>
    </row>
    <row r="968" spans="1:6" ht="17.100000000000001" customHeight="1">
      <c r="A968" s="901"/>
      <c r="B968" s="1267"/>
      <c r="C968" s="1268"/>
      <c r="D968" s="353" t="s">
        <v>224</v>
      </c>
      <c r="E968" s="354" t="s">
        <v>225</v>
      </c>
      <c r="F968" s="355">
        <f>28320</f>
        <v>28320</v>
      </c>
    </row>
    <row r="969" spans="1:6" ht="17.100000000000001" customHeight="1">
      <c r="A969" s="901"/>
      <c r="B969" s="1267"/>
      <c r="C969" s="1269"/>
      <c r="D969" s="1415"/>
      <c r="E969" s="1416"/>
      <c r="F969" s="1417"/>
    </row>
    <row r="970" spans="1:6" ht="17.100000000000001" customHeight="1">
      <c r="A970" s="901"/>
      <c r="B970" s="883"/>
      <c r="C970" s="462"/>
      <c r="D970" s="1292" t="s">
        <v>226</v>
      </c>
      <c r="E970" s="1293"/>
      <c r="F970" s="415">
        <f>SUM(F971:F988)</f>
        <v>2330569</v>
      </c>
    </row>
    <row r="971" spans="1:6" ht="17.100000000000001" customHeight="1">
      <c r="A971" s="901"/>
      <c r="B971" s="883"/>
      <c r="C971" s="462"/>
      <c r="D971" s="472" t="s">
        <v>227</v>
      </c>
      <c r="E971" s="346" t="s">
        <v>228</v>
      </c>
      <c r="F971" s="347">
        <f>31200</f>
        <v>31200</v>
      </c>
    </row>
    <row r="972" spans="1:6" ht="17.100000000000001" customHeight="1">
      <c r="A972" s="901"/>
      <c r="B972" s="1267"/>
      <c r="C972" s="1268"/>
      <c r="D972" s="472" t="s">
        <v>229</v>
      </c>
      <c r="E972" s="346" t="s">
        <v>230</v>
      </c>
      <c r="F972" s="347">
        <f>150409</f>
        <v>150409</v>
      </c>
    </row>
    <row r="973" spans="1:6" ht="17.100000000000001" customHeight="1">
      <c r="A973" s="901"/>
      <c r="B973" s="1267"/>
      <c r="C973" s="1268"/>
      <c r="D973" s="472" t="s">
        <v>405</v>
      </c>
      <c r="E973" s="346" t="s">
        <v>406</v>
      </c>
      <c r="F973" s="347">
        <f>329923</f>
        <v>329923</v>
      </c>
    </row>
    <row r="974" spans="1:6" ht="17.100000000000001" customHeight="1">
      <c r="A974" s="901"/>
      <c r="B974" s="1267"/>
      <c r="C974" s="1268"/>
      <c r="D974" s="472" t="s">
        <v>231</v>
      </c>
      <c r="E974" s="346" t="s">
        <v>232</v>
      </c>
      <c r="F974" s="347">
        <f>598888</f>
        <v>598888</v>
      </c>
    </row>
    <row r="975" spans="1:6" ht="17.100000000000001" customHeight="1">
      <c r="A975" s="901"/>
      <c r="B975" s="1267"/>
      <c r="C975" s="1268"/>
      <c r="D975" s="472" t="s">
        <v>233</v>
      </c>
      <c r="E975" s="346" t="s">
        <v>234</v>
      </c>
      <c r="F975" s="347">
        <f>37000</f>
        <v>37000</v>
      </c>
    </row>
    <row r="976" spans="1:6" ht="17.100000000000001" customHeight="1">
      <c r="A976" s="901"/>
      <c r="B976" s="1267"/>
      <c r="C976" s="1268"/>
      <c r="D976" s="472" t="s">
        <v>235</v>
      </c>
      <c r="E976" s="346" t="s">
        <v>236</v>
      </c>
      <c r="F976" s="347">
        <f>16726</f>
        <v>16726</v>
      </c>
    </row>
    <row r="977" spans="1:6" ht="17.100000000000001" customHeight="1">
      <c r="A977" s="901"/>
      <c r="B977" s="1267"/>
      <c r="C977" s="1268"/>
      <c r="D977" s="472" t="s">
        <v>237</v>
      </c>
      <c r="E977" s="346" t="s">
        <v>238</v>
      </c>
      <c r="F977" s="347">
        <f>280636</f>
        <v>280636</v>
      </c>
    </row>
    <row r="978" spans="1:6" ht="25.5" hidden="1">
      <c r="A978" s="901"/>
      <c r="B978" s="883"/>
      <c r="C978" s="462"/>
      <c r="D978" s="472" t="s">
        <v>516</v>
      </c>
      <c r="E978" s="346" t="s">
        <v>517</v>
      </c>
      <c r="F978" s="347"/>
    </row>
    <row r="979" spans="1:6" ht="17.100000000000001" customHeight="1">
      <c r="A979" s="901"/>
      <c r="B979" s="1267"/>
      <c r="C979" s="1268"/>
      <c r="D979" s="472" t="s">
        <v>239</v>
      </c>
      <c r="E979" s="346" t="s">
        <v>240</v>
      </c>
      <c r="F979" s="347">
        <f>6511</f>
        <v>6511</v>
      </c>
    </row>
    <row r="980" spans="1:6" ht="27" customHeight="1">
      <c r="A980" s="901"/>
      <c r="B980" s="1267"/>
      <c r="C980" s="1268"/>
      <c r="D980" s="472" t="s">
        <v>241</v>
      </c>
      <c r="E980" s="346" t="s">
        <v>242</v>
      </c>
      <c r="F980" s="347">
        <f>1983</f>
        <v>1983</v>
      </c>
    </row>
    <row r="981" spans="1:6" ht="24.75" customHeight="1">
      <c r="A981" s="901"/>
      <c r="B981" s="1267"/>
      <c r="C981" s="1268"/>
      <c r="D981" s="472" t="s">
        <v>243</v>
      </c>
      <c r="E981" s="346" t="s">
        <v>244</v>
      </c>
      <c r="F981" s="347">
        <f>29703</f>
        <v>29703</v>
      </c>
    </row>
    <row r="982" spans="1:6" ht="18" customHeight="1">
      <c r="A982" s="901"/>
      <c r="B982" s="1267"/>
      <c r="C982" s="1268"/>
      <c r="D982" s="472" t="s">
        <v>245</v>
      </c>
      <c r="E982" s="346" t="s">
        <v>246</v>
      </c>
      <c r="F982" s="347">
        <f>930</f>
        <v>930</v>
      </c>
    </row>
    <row r="983" spans="1:6" ht="19.5" customHeight="1">
      <c r="A983" s="901"/>
      <c r="B983" s="1267"/>
      <c r="C983" s="1268"/>
      <c r="D983" s="472" t="s">
        <v>247</v>
      </c>
      <c r="E983" s="346" t="s">
        <v>248</v>
      </c>
      <c r="F983" s="347">
        <f>8400</f>
        <v>8400</v>
      </c>
    </row>
    <row r="984" spans="1:6" ht="17.100000000000001" customHeight="1">
      <c r="A984" s="901"/>
      <c r="B984" s="1267"/>
      <c r="C984" s="1268"/>
      <c r="D984" s="472" t="s">
        <v>249</v>
      </c>
      <c r="E984" s="346" t="s">
        <v>250</v>
      </c>
      <c r="F984" s="347">
        <f>18460</f>
        <v>18460</v>
      </c>
    </row>
    <row r="985" spans="1:6" ht="17.100000000000001" customHeight="1">
      <c r="A985" s="901"/>
      <c r="B985" s="1267"/>
      <c r="C985" s="1268"/>
      <c r="D985" s="472" t="s">
        <v>251</v>
      </c>
      <c r="E985" s="346" t="s">
        <v>252</v>
      </c>
      <c r="F985" s="347">
        <f>22400</f>
        <v>22400</v>
      </c>
    </row>
    <row r="986" spans="1:6" ht="17.100000000000001" customHeight="1">
      <c r="A986" s="901"/>
      <c r="B986" s="1267"/>
      <c r="C986" s="1268"/>
      <c r="D986" s="472" t="s">
        <v>253</v>
      </c>
      <c r="E986" s="346" t="s">
        <v>254</v>
      </c>
      <c r="F986" s="347">
        <f>749902</f>
        <v>749902</v>
      </c>
    </row>
    <row r="987" spans="1:6" ht="17.100000000000001" customHeight="1">
      <c r="A987" s="901"/>
      <c r="B987" s="883"/>
      <c r="C987" s="462"/>
      <c r="D987" s="472" t="s">
        <v>259</v>
      </c>
      <c r="E987" s="346" t="s">
        <v>518</v>
      </c>
      <c r="F987" s="347">
        <f>38668</f>
        <v>38668</v>
      </c>
    </row>
    <row r="988" spans="1:6" ht="17.100000000000001" customHeight="1">
      <c r="A988" s="901"/>
      <c r="B988" s="1267"/>
      <c r="C988" s="1268"/>
      <c r="D988" s="472" t="s">
        <v>261</v>
      </c>
      <c r="E988" s="346" t="s">
        <v>262</v>
      </c>
      <c r="F988" s="347">
        <f>8830</f>
        <v>8830</v>
      </c>
    </row>
    <row r="989" spans="1:6" ht="17.100000000000001" customHeight="1">
      <c r="A989" s="901"/>
      <c r="B989" s="883"/>
      <c r="C989" s="462"/>
      <c r="D989" s="1267"/>
      <c r="E989" s="1269"/>
      <c r="F989" s="1270"/>
    </row>
    <row r="990" spans="1:6" ht="17.100000000000001" customHeight="1">
      <c r="A990" s="901"/>
      <c r="B990" s="883"/>
      <c r="C990" s="462"/>
      <c r="D990" s="1290" t="s">
        <v>467</v>
      </c>
      <c r="E990" s="1291"/>
      <c r="F990" s="347">
        <f>F991</f>
        <v>53481</v>
      </c>
    </row>
    <row r="991" spans="1:6" ht="17.100000000000001" customHeight="1">
      <c r="A991" s="901"/>
      <c r="B991" s="883"/>
      <c r="C991" s="462"/>
      <c r="D991" s="472" t="s">
        <v>264</v>
      </c>
      <c r="E991" s="346" t="s">
        <v>265</v>
      </c>
      <c r="F991" s="347">
        <f>53481</f>
        <v>53481</v>
      </c>
    </row>
    <row r="992" spans="1:6" ht="17.100000000000001" customHeight="1">
      <c r="A992" s="901"/>
      <c r="B992" s="883"/>
      <c r="C992" s="462"/>
      <c r="D992" s="1267"/>
      <c r="E992" s="1269"/>
      <c r="F992" s="1270"/>
    </row>
    <row r="993" spans="1:7" ht="17.100000000000001" customHeight="1">
      <c r="A993" s="901"/>
      <c r="B993" s="883"/>
      <c r="C993" s="462"/>
      <c r="D993" s="1296" t="s">
        <v>281</v>
      </c>
      <c r="E993" s="1297"/>
      <c r="F993" s="343">
        <f>F994</f>
        <v>21300</v>
      </c>
    </row>
    <row r="994" spans="1:7" ht="17.100000000000001" customHeight="1">
      <c r="A994" s="901"/>
      <c r="B994" s="883"/>
      <c r="C994" s="462"/>
      <c r="D994" s="1290" t="s">
        <v>904</v>
      </c>
      <c r="E994" s="1367"/>
      <c r="F994" s="347">
        <f>F995</f>
        <v>21300</v>
      </c>
    </row>
    <row r="995" spans="1:7">
      <c r="A995" s="901"/>
      <c r="B995" s="883"/>
      <c r="C995" s="462"/>
      <c r="D995" s="352" t="s">
        <v>270</v>
      </c>
      <c r="E995" s="356" t="s">
        <v>271</v>
      </c>
      <c r="F995" s="347">
        <f>21300</f>
        <v>21300</v>
      </c>
      <c r="G995" s="363"/>
    </row>
    <row r="996" spans="1:7" ht="17.100000000000001" customHeight="1">
      <c r="A996" s="901"/>
      <c r="B996" s="1278" t="s">
        <v>519</v>
      </c>
      <c r="C996" s="1279"/>
      <c r="D996" s="340"/>
      <c r="E996" s="341" t="s">
        <v>520</v>
      </c>
      <c r="F996" s="342">
        <f>F997</f>
        <v>3028594</v>
      </c>
    </row>
    <row r="997" spans="1:7" ht="17.100000000000001" customHeight="1">
      <c r="A997" s="901"/>
      <c r="B997" s="883"/>
      <c r="C997" s="462"/>
      <c r="D997" s="1284" t="s">
        <v>213</v>
      </c>
      <c r="E997" s="1285"/>
      <c r="F997" s="343">
        <f>F998+F1021</f>
        <v>3028594</v>
      </c>
    </row>
    <row r="998" spans="1:7" ht="17.100000000000001" customHeight="1">
      <c r="A998" s="901"/>
      <c r="B998" s="883"/>
      <c r="C998" s="462"/>
      <c r="D998" s="1286" t="s">
        <v>214</v>
      </c>
      <c r="E998" s="1294"/>
      <c r="F998" s="347">
        <f>F999+F1006</f>
        <v>2874052</v>
      </c>
    </row>
    <row r="999" spans="1:7" ht="17.100000000000001" customHeight="1">
      <c r="A999" s="901"/>
      <c r="B999" s="883"/>
      <c r="C999" s="462"/>
      <c r="D999" s="1288" t="s">
        <v>215</v>
      </c>
      <c r="E999" s="1295"/>
      <c r="F999" s="347">
        <f>SUM(F1000:F1004)</f>
        <v>2535033</v>
      </c>
    </row>
    <row r="1000" spans="1:7" ht="17.100000000000001" customHeight="1">
      <c r="A1000" s="901"/>
      <c r="B1000" s="1267"/>
      <c r="C1000" s="1268"/>
      <c r="D1000" s="472" t="s">
        <v>216</v>
      </c>
      <c r="E1000" s="346" t="s">
        <v>217</v>
      </c>
      <c r="F1000" s="347">
        <f>1738677</f>
        <v>1738677</v>
      </c>
    </row>
    <row r="1001" spans="1:7" ht="17.100000000000001" customHeight="1">
      <c r="A1001" s="901"/>
      <c r="B1001" s="1267"/>
      <c r="C1001" s="1268"/>
      <c r="D1001" s="472" t="s">
        <v>218</v>
      </c>
      <c r="E1001" s="346" t="s">
        <v>219</v>
      </c>
      <c r="F1001" s="347">
        <f>322561</f>
        <v>322561</v>
      </c>
    </row>
    <row r="1002" spans="1:7" ht="17.100000000000001" customHeight="1">
      <c r="A1002" s="901"/>
      <c r="B1002" s="1267"/>
      <c r="C1002" s="1268"/>
      <c r="D1002" s="472" t="s">
        <v>220</v>
      </c>
      <c r="E1002" s="346" t="s">
        <v>221</v>
      </c>
      <c r="F1002" s="347">
        <f>297420</f>
        <v>297420</v>
      </c>
    </row>
    <row r="1003" spans="1:7" ht="17.100000000000001" customHeight="1">
      <c r="A1003" s="901"/>
      <c r="B1003" s="1267"/>
      <c r="C1003" s="1268"/>
      <c r="D1003" s="353" t="s">
        <v>222</v>
      </c>
      <c r="E1003" s="346" t="s">
        <v>223</v>
      </c>
      <c r="F1003" s="347">
        <f>37707</f>
        <v>37707</v>
      </c>
    </row>
    <row r="1004" spans="1:7" ht="17.100000000000001" customHeight="1">
      <c r="A1004" s="901"/>
      <c r="B1004" s="1267"/>
      <c r="C1004" s="1268"/>
      <c r="D1004" s="472" t="s">
        <v>224</v>
      </c>
      <c r="E1004" s="346" t="s">
        <v>225</v>
      </c>
      <c r="F1004" s="347">
        <f>138668</f>
        <v>138668</v>
      </c>
    </row>
    <row r="1005" spans="1:7" ht="17.100000000000001" customHeight="1">
      <c r="A1005" s="901"/>
      <c r="B1005" s="883"/>
      <c r="C1005" s="462"/>
      <c r="D1005" s="1267"/>
      <c r="E1005" s="1269"/>
      <c r="F1005" s="1270"/>
    </row>
    <row r="1006" spans="1:7" ht="17.100000000000001" customHeight="1">
      <c r="A1006" s="901"/>
      <c r="B1006" s="883"/>
      <c r="C1006" s="462"/>
      <c r="D1006" s="1292" t="s">
        <v>226</v>
      </c>
      <c r="E1006" s="1293"/>
      <c r="F1006" s="347">
        <f>SUM(F1007:F1019)</f>
        <v>339019</v>
      </c>
    </row>
    <row r="1007" spans="1:7" ht="17.100000000000001" customHeight="1">
      <c r="A1007" s="901"/>
      <c r="B1007" s="883"/>
      <c r="C1007" s="462"/>
      <c r="D1007" s="472" t="s">
        <v>227</v>
      </c>
      <c r="E1007" s="346" t="s">
        <v>228</v>
      </c>
      <c r="F1007" s="347">
        <f>4500</f>
        <v>4500</v>
      </c>
    </row>
    <row r="1008" spans="1:7" ht="17.100000000000001" customHeight="1">
      <c r="A1008" s="901"/>
      <c r="B1008" s="1267"/>
      <c r="C1008" s="1268"/>
      <c r="D1008" s="472" t="s">
        <v>229</v>
      </c>
      <c r="E1008" s="346" t="s">
        <v>230</v>
      </c>
      <c r="F1008" s="347">
        <f>33450</f>
        <v>33450</v>
      </c>
    </row>
    <row r="1009" spans="1:6" ht="17.100000000000001" customHeight="1">
      <c r="A1009" s="901"/>
      <c r="B1009" s="1267"/>
      <c r="C1009" s="1268"/>
      <c r="D1009" s="472" t="s">
        <v>231</v>
      </c>
      <c r="E1009" s="346" t="s">
        <v>232</v>
      </c>
      <c r="F1009" s="347">
        <f>117905</f>
        <v>117905</v>
      </c>
    </row>
    <row r="1010" spans="1:6" ht="17.100000000000001" customHeight="1">
      <c r="A1010" s="901"/>
      <c r="B1010" s="883"/>
      <c r="C1010" s="462"/>
      <c r="D1010" s="472" t="s">
        <v>233</v>
      </c>
      <c r="E1010" s="346" t="s">
        <v>234</v>
      </c>
      <c r="F1010" s="347">
        <f>4000</f>
        <v>4000</v>
      </c>
    </row>
    <row r="1011" spans="1:6" ht="17.100000000000001" customHeight="1">
      <c r="A1011" s="901"/>
      <c r="B1011" s="1267"/>
      <c r="C1011" s="1268"/>
      <c r="D1011" s="472" t="s">
        <v>235</v>
      </c>
      <c r="E1011" s="346" t="s">
        <v>236</v>
      </c>
      <c r="F1011" s="347">
        <f>2480</f>
        <v>2480</v>
      </c>
    </row>
    <row r="1012" spans="1:6" ht="17.100000000000001" customHeight="1">
      <c r="A1012" s="901"/>
      <c r="B1012" s="1267"/>
      <c r="C1012" s="1268"/>
      <c r="D1012" s="472" t="s">
        <v>237</v>
      </c>
      <c r="E1012" s="346" t="s">
        <v>238</v>
      </c>
      <c r="F1012" s="347">
        <f>76212</f>
        <v>76212</v>
      </c>
    </row>
    <row r="1013" spans="1:6" ht="17.100000000000001" customHeight="1">
      <c r="A1013" s="901"/>
      <c r="B1013" s="1267"/>
      <c r="C1013" s="1268"/>
      <c r="D1013" s="472" t="s">
        <v>239</v>
      </c>
      <c r="E1013" s="346" t="s">
        <v>240</v>
      </c>
      <c r="F1013" s="347">
        <f>5846</f>
        <v>5846</v>
      </c>
    </row>
    <row r="1014" spans="1:6" ht="27" customHeight="1">
      <c r="A1014" s="901"/>
      <c r="B1014" s="1267"/>
      <c r="C1014" s="1268"/>
      <c r="D1014" s="472" t="s">
        <v>243</v>
      </c>
      <c r="E1014" s="346" t="s">
        <v>244</v>
      </c>
      <c r="F1014" s="347">
        <f>9645</f>
        <v>9645</v>
      </c>
    </row>
    <row r="1015" spans="1:6" ht="17.100000000000001" customHeight="1">
      <c r="A1015" s="901"/>
      <c r="B1015" s="1267"/>
      <c r="C1015" s="1268"/>
      <c r="D1015" s="472" t="s">
        <v>249</v>
      </c>
      <c r="E1015" s="346" t="s">
        <v>250</v>
      </c>
      <c r="F1015" s="347">
        <f>8823</f>
        <v>8823</v>
      </c>
    </row>
    <row r="1016" spans="1:6" ht="17.100000000000001" customHeight="1">
      <c r="A1016" s="901"/>
      <c r="B1016" s="1267"/>
      <c r="C1016" s="1268"/>
      <c r="D1016" s="472" t="s">
        <v>251</v>
      </c>
      <c r="E1016" s="346" t="s">
        <v>252</v>
      </c>
      <c r="F1016" s="347">
        <f>1100</f>
        <v>1100</v>
      </c>
    </row>
    <row r="1017" spans="1:6" ht="17.100000000000001" customHeight="1">
      <c r="A1017" s="901"/>
      <c r="B1017" s="1267"/>
      <c r="C1017" s="1268"/>
      <c r="D1017" s="472" t="s">
        <v>253</v>
      </c>
      <c r="E1017" s="346" t="s">
        <v>254</v>
      </c>
      <c r="F1017" s="347">
        <f>69158</f>
        <v>69158</v>
      </c>
    </row>
    <row r="1018" spans="1:6" ht="17.100000000000001" customHeight="1">
      <c r="A1018" s="901"/>
      <c r="B1018" s="883"/>
      <c r="C1018" s="462"/>
      <c r="D1018" s="472" t="s">
        <v>259</v>
      </c>
      <c r="E1018" s="346" t="s">
        <v>518</v>
      </c>
      <c r="F1018" s="347">
        <f>3900</f>
        <v>3900</v>
      </c>
    </row>
    <row r="1019" spans="1:6" ht="17.100000000000001" customHeight="1">
      <c r="A1019" s="901"/>
      <c r="B1019" s="1267"/>
      <c r="C1019" s="1268"/>
      <c r="D1019" s="472" t="s">
        <v>261</v>
      </c>
      <c r="E1019" s="346" t="s">
        <v>262</v>
      </c>
      <c r="F1019" s="347">
        <f>2000</f>
        <v>2000</v>
      </c>
    </row>
    <row r="1020" spans="1:6" ht="17.100000000000001" customHeight="1">
      <c r="A1020" s="901"/>
      <c r="B1020" s="1267"/>
      <c r="C1020" s="1268"/>
      <c r="D1020" s="1267"/>
      <c r="E1020" s="1269"/>
      <c r="F1020" s="1270"/>
    </row>
    <row r="1021" spans="1:6" ht="17.100000000000001" customHeight="1">
      <c r="A1021" s="901"/>
      <c r="B1021" s="1267"/>
      <c r="C1021" s="1268"/>
      <c r="D1021" s="1290" t="s">
        <v>467</v>
      </c>
      <c r="E1021" s="1291"/>
      <c r="F1021" s="347">
        <f>F1022</f>
        <v>154542</v>
      </c>
    </row>
    <row r="1022" spans="1:6" ht="17.100000000000001" customHeight="1">
      <c r="A1022" s="901"/>
      <c r="B1022" s="1299"/>
      <c r="C1022" s="1300"/>
      <c r="D1022" s="472" t="s">
        <v>264</v>
      </c>
      <c r="E1022" s="346" t="s">
        <v>265</v>
      </c>
      <c r="F1022" s="347">
        <f>154542</f>
        <v>154542</v>
      </c>
    </row>
    <row r="1023" spans="1:6" ht="17.100000000000001" customHeight="1">
      <c r="A1023" s="901"/>
      <c r="B1023" s="1278" t="s">
        <v>521</v>
      </c>
      <c r="C1023" s="1279"/>
      <c r="D1023" s="340"/>
      <c r="E1023" s="341" t="s">
        <v>522</v>
      </c>
      <c r="F1023" s="342">
        <f>F1024</f>
        <v>7930610</v>
      </c>
    </row>
    <row r="1024" spans="1:6" ht="17.100000000000001" customHeight="1">
      <c r="A1024" s="901"/>
      <c r="B1024" s="883"/>
      <c r="C1024" s="462"/>
      <c r="D1024" s="1284" t="s">
        <v>213</v>
      </c>
      <c r="E1024" s="1285"/>
      <c r="F1024" s="343">
        <f>F1025+F1046+F1049</f>
        <v>7930610</v>
      </c>
    </row>
    <row r="1025" spans="1:6" ht="17.100000000000001" customHeight="1">
      <c r="A1025" s="901"/>
      <c r="B1025" s="883"/>
      <c r="C1025" s="462"/>
      <c r="D1025" s="1286" t="s">
        <v>214</v>
      </c>
      <c r="E1025" s="1294"/>
      <c r="F1025" s="347">
        <f>F1026+F1033</f>
        <v>7609890</v>
      </c>
    </row>
    <row r="1026" spans="1:6" ht="17.100000000000001" customHeight="1">
      <c r="A1026" s="901"/>
      <c r="B1026" s="883"/>
      <c r="C1026" s="462"/>
      <c r="D1026" s="1288" t="s">
        <v>215</v>
      </c>
      <c r="E1026" s="1295"/>
      <c r="F1026" s="347">
        <f>SUM(F1027:F1031)</f>
        <v>7017348</v>
      </c>
    </row>
    <row r="1027" spans="1:6" ht="17.100000000000001" customHeight="1">
      <c r="A1027" s="901"/>
      <c r="B1027" s="1267"/>
      <c r="C1027" s="1268"/>
      <c r="D1027" s="472" t="s">
        <v>216</v>
      </c>
      <c r="E1027" s="346" t="s">
        <v>217</v>
      </c>
      <c r="F1027" s="347">
        <f>5561687</f>
        <v>5561687</v>
      </c>
    </row>
    <row r="1028" spans="1:6" ht="17.100000000000001" customHeight="1">
      <c r="A1028" s="901"/>
      <c r="B1028" s="883"/>
      <c r="C1028" s="462"/>
      <c r="D1028" s="472" t="s">
        <v>218</v>
      </c>
      <c r="E1028" s="346" t="s">
        <v>219</v>
      </c>
      <c r="F1028" s="347">
        <f>461716</f>
        <v>461716</v>
      </c>
    </row>
    <row r="1029" spans="1:6" ht="17.100000000000001" customHeight="1">
      <c r="A1029" s="901"/>
      <c r="B1029" s="883"/>
      <c r="C1029" s="462"/>
      <c r="D1029" s="472" t="s">
        <v>220</v>
      </c>
      <c r="E1029" s="346" t="s">
        <v>221</v>
      </c>
      <c r="F1029" s="347">
        <f>848816</f>
        <v>848816</v>
      </c>
    </row>
    <row r="1030" spans="1:6" ht="17.100000000000001" customHeight="1">
      <c r="A1030" s="901"/>
      <c r="B1030" s="883"/>
      <c r="C1030" s="462"/>
      <c r="D1030" s="472" t="s">
        <v>222</v>
      </c>
      <c r="E1030" s="346" t="s">
        <v>223</v>
      </c>
      <c r="F1030" s="347">
        <f>109093</f>
        <v>109093</v>
      </c>
    </row>
    <row r="1031" spans="1:6" ht="17.100000000000001" customHeight="1">
      <c r="A1031" s="901"/>
      <c r="B1031" s="883"/>
      <c r="C1031" s="462"/>
      <c r="D1031" s="472" t="s">
        <v>224</v>
      </c>
      <c r="E1031" s="346" t="s">
        <v>225</v>
      </c>
      <c r="F1031" s="347">
        <v>36036</v>
      </c>
    </row>
    <row r="1032" spans="1:6" ht="17.100000000000001" customHeight="1">
      <c r="A1032" s="901"/>
      <c r="B1032" s="883"/>
      <c r="C1032" s="462"/>
      <c r="D1032" s="1267"/>
      <c r="E1032" s="1269"/>
      <c r="F1032" s="1270"/>
    </row>
    <row r="1033" spans="1:6" ht="17.100000000000001" customHeight="1">
      <c r="A1033" s="901"/>
      <c r="B1033" s="883"/>
      <c r="C1033" s="462"/>
      <c r="D1033" s="1292" t="s">
        <v>226</v>
      </c>
      <c r="E1033" s="1293"/>
      <c r="F1033" s="347">
        <f>SUM(F1034:F1044)</f>
        <v>592542</v>
      </c>
    </row>
    <row r="1034" spans="1:6" ht="17.100000000000001" customHeight="1">
      <c r="A1034" s="901"/>
      <c r="B1034" s="883"/>
      <c r="C1034" s="462"/>
      <c r="D1034" s="472" t="s">
        <v>227</v>
      </c>
      <c r="E1034" s="346" t="s">
        <v>228</v>
      </c>
      <c r="F1034" s="347">
        <f>51252</f>
        <v>51252</v>
      </c>
    </row>
    <row r="1035" spans="1:6" ht="17.100000000000001" customHeight="1">
      <c r="A1035" s="901"/>
      <c r="B1035" s="883"/>
      <c r="C1035" s="462"/>
      <c r="D1035" s="472" t="s">
        <v>229</v>
      </c>
      <c r="E1035" s="346" t="s">
        <v>230</v>
      </c>
      <c r="F1035" s="347">
        <f>10599</f>
        <v>10599</v>
      </c>
    </row>
    <row r="1036" spans="1:6" ht="17.100000000000001" customHeight="1">
      <c r="A1036" s="901"/>
      <c r="B1036" s="883"/>
      <c r="C1036" s="462"/>
      <c r="D1036" s="472" t="s">
        <v>231</v>
      </c>
      <c r="E1036" s="346" t="s">
        <v>232</v>
      </c>
      <c r="F1036" s="347">
        <f>78417</f>
        <v>78417</v>
      </c>
    </row>
    <row r="1037" spans="1:6" ht="17.100000000000001" customHeight="1">
      <c r="A1037" s="901"/>
      <c r="B1037" s="883"/>
      <c r="C1037" s="462"/>
      <c r="D1037" s="472" t="s">
        <v>233</v>
      </c>
      <c r="E1037" s="346" t="s">
        <v>234</v>
      </c>
      <c r="F1037" s="347">
        <f>33000</f>
        <v>33000</v>
      </c>
    </row>
    <row r="1038" spans="1:6" ht="17.100000000000001" customHeight="1">
      <c r="A1038" s="901"/>
      <c r="B1038" s="883"/>
      <c r="C1038" s="462"/>
      <c r="D1038" s="472" t="s">
        <v>235</v>
      </c>
      <c r="E1038" s="346" t="s">
        <v>236</v>
      </c>
      <c r="F1038" s="347">
        <f>12306</f>
        <v>12306</v>
      </c>
    </row>
    <row r="1039" spans="1:6" ht="17.100000000000001" customHeight="1">
      <c r="A1039" s="901"/>
      <c r="B1039" s="883"/>
      <c r="C1039" s="462"/>
      <c r="D1039" s="472" t="s">
        <v>237</v>
      </c>
      <c r="E1039" s="346" t="s">
        <v>238</v>
      </c>
      <c r="F1039" s="347">
        <f>51622</f>
        <v>51622</v>
      </c>
    </row>
    <row r="1040" spans="1:6" ht="17.100000000000001" hidden="1" customHeight="1">
      <c r="A1040" s="901"/>
      <c r="B1040" s="883"/>
      <c r="C1040" s="462"/>
      <c r="D1040" s="472" t="s">
        <v>239</v>
      </c>
      <c r="E1040" s="346" t="s">
        <v>240</v>
      </c>
      <c r="F1040" s="347"/>
    </row>
    <row r="1041" spans="1:6" ht="17.100000000000001" customHeight="1">
      <c r="A1041" s="901"/>
      <c r="B1041" s="883"/>
      <c r="C1041" s="462"/>
      <c r="D1041" s="472" t="s">
        <v>249</v>
      </c>
      <c r="E1041" s="346" t="s">
        <v>250</v>
      </c>
      <c r="F1041" s="347">
        <f>52420</f>
        <v>52420</v>
      </c>
    </row>
    <row r="1042" spans="1:6" ht="17.100000000000001" hidden="1" customHeight="1">
      <c r="A1042" s="901"/>
      <c r="B1042" s="883"/>
      <c r="C1042" s="462"/>
      <c r="D1042" s="472" t="s">
        <v>251</v>
      </c>
      <c r="E1042" s="346" t="s">
        <v>252</v>
      </c>
      <c r="F1042" s="347"/>
    </row>
    <row r="1043" spans="1:6" ht="17.100000000000001" customHeight="1">
      <c r="A1043" s="901"/>
      <c r="B1043" s="883"/>
      <c r="C1043" s="462"/>
      <c r="D1043" s="472" t="s">
        <v>253</v>
      </c>
      <c r="E1043" s="346" t="s">
        <v>254</v>
      </c>
      <c r="F1043" s="347">
        <f>210527</f>
        <v>210527</v>
      </c>
    </row>
    <row r="1044" spans="1:6" ht="17.100000000000001" customHeight="1">
      <c r="A1044" s="901"/>
      <c r="B1044" s="883"/>
      <c r="C1044" s="462"/>
      <c r="D1044" s="472" t="s">
        <v>261</v>
      </c>
      <c r="E1044" s="346" t="s">
        <v>262</v>
      </c>
      <c r="F1044" s="347">
        <f>92399</f>
        <v>92399</v>
      </c>
    </row>
    <row r="1045" spans="1:6" ht="17.100000000000001" customHeight="1">
      <c r="A1045" s="901"/>
      <c r="B1045" s="883"/>
      <c r="C1045" s="462"/>
      <c r="D1045" s="1267"/>
      <c r="E1045" s="1269"/>
      <c r="F1045" s="1270"/>
    </row>
    <row r="1046" spans="1:6" ht="17.100000000000001" customHeight="1">
      <c r="A1046" s="901"/>
      <c r="B1046" s="1267"/>
      <c r="C1046" s="1268"/>
      <c r="D1046" s="1419" t="s">
        <v>467</v>
      </c>
      <c r="E1046" s="1420"/>
      <c r="F1046" s="894">
        <f>F1047</f>
        <v>14600</v>
      </c>
    </row>
    <row r="1047" spans="1:6" ht="17.100000000000001" customHeight="1">
      <c r="A1047" s="901"/>
      <c r="B1047" s="883"/>
      <c r="C1047" s="878"/>
      <c r="D1047" s="879" t="s">
        <v>264</v>
      </c>
      <c r="E1047" s="418" t="s">
        <v>265</v>
      </c>
      <c r="F1047" s="344">
        <f>14600</f>
        <v>14600</v>
      </c>
    </row>
    <row r="1048" spans="1:6" ht="17.100000000000001" customHeight="1">
      <c r="A1048" s="911"/>
      <c r="B1048" s="912"/>
      <c r="C1048" s="878"/>
      <c r="D1048" s="915"/>
      <c r="E1048" s="913"/>
      <c r="F1048" s="914"/>
    </row>
    <row r="1049" spans="1:6" ht="17.100000000000001" customHeight="1">
      <c r="A1049" s="901"/>
      <c r="B1049" s="883"/>
      <c r="C1049" s="462"/>
      <c r="D1049" s="1418" t="s">
        <v>343</v>
      </c>
      <c r="E1049" s="1294"/>
      <c r="F1049" s="347">
        <f>SUM(F1050:F1078)</f>
        <v>306120</v>
      </c>
    </row>
    <row r="1050" spans="1:6" ht="38.25">
      <c r="A1050" s="901"/>
      <c r="B1050" s="883"/>
      <c r="C1050" s="460"/>
      <c r="D1050" s="348" t="s">
        <v>422</v>
      </c>
      <c r="E1050" s="346" t="s">
        <v>349</v>
      </c>
      <c r="F1050" s="347">
        <f>75134</f>
        <v>75134</v>
      </c>
    </row>
    <row r="1051" spans="1:6" ht="38.25">
      <c r="A1051" s="901"/>
      <c r="B1051" s="883"/>
      <c r="C1051" s="460"/>
      <c r="D1051" s="416" t="s">
        <v>348</v>
      </c>
      <c r="E1051" s="346" t="s">
        <v>349</v>
      </c>
      <c r="F1051" s="347">
        <f>3172</f>
        <v>3172</v>
      </c>
    </row>
    <row r="1052" spans="1:6" ht="17.100000000000001" hidden="1" customHeight="1">
      <c r="A1052" s="901"/>
      <c r="B1052" s="883"/>
      <c r="C1052" s="462"/>
      <c r="D1052" s="352" t="s">
        <v>523</v>
      </c>
      <c r="E1052" s="346" t="s">
        <v>265</v>
      </c>
      <c r="F1052" s="347"/>
    </row>
    <row r="1053" spans="1:6" ht="17.100000000000001" hidden="1" customHeight="1">
      <c r="A1053" s="901"/>
      <c r="B1053" s="883"/>
      <c r="C1053" s="462"/>
      <c r="D1053" s="472" t="s">
        <v>524</v>
      </c>
      <c r="E1053" s="346" t="s">
        <v>265</v>
      </c>
      <c r="F1053" s="347"/>
    </row>
    <row r="1054" spans="1:6" ht="17.100000000000001" customHeight="1">
      <c r="A1054" s="901"/>
      <c r="B1054" s="1267"/>
      <c r="C1054" s="1268"/>
      <c r="D1054" s="472" t="s">
        <v>362</v>
      </c>
      <c r="E1054" s="346" t="s">
        <v>217</v>
      </c>
      <c r="F1054" s="347">
        <f>58861</f>
        <v>58861</v>
      </c>
    </row>
    <row r="1055" spans="1:6" ht="17.100000000000001" customHeight="1">
      <c r="A1055" s="901"/>
      <c r="B1055" s="1267"/>
      <c r="C1055" s="1268"/>
      <c r="D1055" s="472" t="s">
        <v>292</v>
      </c>
      <c r="E1055" s="346" t="s">
        <v>217</v>
      </c>
      <c r="F1055" s="347">
        <f>7733</f>
        <v>7733</v>
      </c>
    </row>
    <row r="1056" spans="1:6" ht="17.100000000000001" customHeight="1">
      <c r="A1056" s="901"/>
      <c r="B1056" s="1267"/>
      <c r="C1056" s="1268"/>
      <c r="D1056" s="472" t="s">
        <v>423</v>
      </c>
      <c r="E1056" s="346" t="s">
        <v>219</v>
      </c>
      <c r="F1056" s="347">
        <f>17105</f>
        <v>17105</v>
      </c>
    </row>
    <row r="1057" spans="1:6" ht="17.100000000000001" customHeight="1">
      <c r="A1057" s="901"/>
      <c r="B1057" s="1267"/>
      <c r="C1057" s="1268"/>
      <c r="D1057" s="472" t="s">
        <v>294</v>
      </c>
      <c r="E1057" s="346" t="s">
        <v>219</v>
      </c>
      <c r="F1057" s="347">
        <f>15</f>
        <v>15</v>
      </c>
    </row>
    <row r="1058" spans="1:6" ht="17.100000000000001" customHeight="1">
      <c r="A1058" s="901"/>
      <c r="B1058" s="1267"/>
      <c r="C1058" s="1268"/>
      <c r="D1058" s="472" t="s">
        <v>363</v>
      </c>
      <c r="E1058" s="346" t="s">
        <v>221</v>
      </c>
      <c r="F1058" s="347">
        <f>13051</f>
        <v>13051</v>
      </c>
    </row>
    <row r="1059" spans="1:6" ht="17.100000000000001" customHeight="1">
      <c r="A1059" s="901"/>
      <c r="B1059" s="1267"/>
      <c r="C1059" s="1268"/>
      <c r="D1059" s="472" t="s">
        <v>296</v>
      </c>
      <c r="E1059" s="346" t="s">
        <v>221</v>
      </c>
      <c r="F1059" s="347">
        <f>1340</f>
        <v>1340</v>
      </c>
    </row>
    <row r="1060" spans="1:6" ht="17.100000000000001" customHeight="1">
      <c r="A1060" s="901"/>
      <c r="B1060" s="1267"/>
      <c r="C1060" s="1268"/>
      <c r="D1060" s="472" t="s">
        <v>364</v>
      </c>
      <c r="E1060" s="346" t="s">
        <v>223</v>
      </c>
      <c r="F1060" s="347">
        <f>1843</f>
        <v>1843</v>
      </c>
    </row>
    <row r="1061" spans="1:6" ht="17.100000000000001" customHeight="1">
      <c r="A1061" s="901"/>
      <c r="B1061" s="1267"/>
      <c r="C1061" s="1268"/>
      <c r="D1061" s="472" t="s">
        <v>298</v>
      </c>
      <c r="E1061" s="346" t="s">
        <v>223</v>
      </c>
      <c r="F1061" s="347">
        <f>208</f>
        <v>208</v>
      </c>
    </row>
    <row r="1062" spans="1:6" ht="17.100000000000001" customHeight="1">
      <c r="A1062" s="901"/>
      <c r="B1062" s="883"/>
      <c r="C1062" s="462"/>
      <c r="D1062" s="472" t="s">
        <v>460</v>
      </c>
      <c r="E1062" s="346" t="s">
        <v>225</v>
      </c>
      <c r="F1062" s="347">
        <f>34365</f>
        <v>34365</v>
      </c>
    </row>
    <row r="1063" spans="1:6" ht="17.100000000000001" customHeight="1">
      <c r="A1063" s="901"/>
      <c r="B1063" s="883"/>
      <c r="C1063" s="462"/>
      <c r="D1063" s="472" t="s">
        <v>300</v>
      </c>
      <c r="E1063" s="346" t="s">
        <v>225</v>
      </c>
      <c r="F1063" s="347">
        <f>6064</f>
        <v>6064</v>
      </c>
    </row>
    <row r="1064" spans="1:6" ht="17.100000000000001" customHeight="1">
      <c r="A1064" s="901"/>
      <c r="B1064" s="1267"/>
      <c r="C1064" s="1268"/>
      <c r="D1064" s="472" t="s">
        <v>365</v>
      </c>
      <c r="E1064" s="346" t="s">
        <v>230</v>
      </c>
      <c r="F1064" s="347">
        <f>4914</f>
        <v>4914</v>
      </c>
    </row>
    <row r="1065" spans="1:6" ht="17.100000000000001" customHeight="1">
      <c r="A1065" s="901"/>
      <c r="B1065" s="1267"/>
      <c r="C1065" s="1268"/>
      <c r="D1065" s="472" t="s">
        <v>302</v>
      </c>
      <c r="E1065" s="346" t="s">
        <v>230</v>
      </c>
      <c r="F1065" s="347">
        <f>766</f>
        <v>766</v>
      </c>
    </row>
    <row r="1066" spans="1:6" ht="17.100000000000001" hidden="1" customHeight="1">
      <c r="A1066" s="901"/>
      <c r="B1066" s="1267"/>
      <c r="C1066" s="1268"/>
      <c r="D1066" s="472" t="s">
        <v>525</v>
      </c>
      <c r="E1066" s="346" t="s">
        <v>526</v>
      </c>
      <c r="F1066" s="347"/>
    </row>
    <row r="1067" spans="1:6" ht="17.100000000000001" hidden="1" customHeight="1">
      <c r="A1067" s="901"/>
      <c r="B1067" s="1267"/>
      <c r="C1067" s="1268"/>
      <c r="D1067" s="472" t="s">
        <v>424</v>
      </c>
      <c r="E1067" s="346" t="s">
        <v>232</v>
      </c>
      <c r="F1067" s="347"/>
    </row>
    <row r="1068" spans="1:6" ht="17.100000000000001" hidden="1" customHeight="1">
      <c r="A1068" s="901"/>
      <c r="B1068" s="1267"/>
      <c r="C1068" s="1268"/>
      <c r="D1068" s="472" t="s">
        <v>527</v>
      </c>
      <c r="E1068" s="346" t="s">
        <v>236</v>
      </c>
      <c r="F1068" s="347"/>
    </row>
    <row r="1069" spans="1:6" ht="17.100000000000001" hidden="1" customHeight="1">
      <c r="A1069" s="901"/>
      <c r="B1069" s="883"/>
      <c r="C1069" s="462"/>
      <c r="D1069" s="472" t="s">
        <v>528</v>
      </c>
      <c r="E1069" s="346" t="s">
        <v>236</v>
      </c>
      <c r="F1069" s="347"/>
    </row>
    <row r="1070" spans="1:6" ht="17.100000000000001" customHeight="1">
      <c r="A1070" s="901"/>
      <c r="B1070" s="1267"/>
      <c r="C1070" s="1268"/>
      <c r="D1070" s="472" t="s">
        <v>366</v>
      </c>
      <c r="E1070" s="346" t="s">
        <v>238</v>
      </c>
      <c r="F1070" s="347">
        <f>69753</f>
        <v>69753</v>
      </c>
    </row>
    <row r="1071" spans="1:6" ht="17.100000000000001" customHeight="1">
      <c r="A1071" s="901"/>
      <c r="B1071" s="1267"/>
      <c r="C1071" s="1268"/>
      <c r="D1071" s="472" t="s">
        <v>304</v>
      </c>
      <c r="E1071" s="346" t="s">
        <v>238</v>
      </c>
      <c r="F1071" s="347">
        <f>10699</f>
        <v>10699</v>
      </c>
    </row>
    <row r="1072" spans="1:6" ht="17.100000000000001" hidden="1" customHeight="1">
      <c r="A1072" s="901"/>
      <c r="B1072" s="883"/>
      <c r="C1072" s="462"/>
      <c r="D1072" s="472" t="s">
        <v>426</v>
      </c>
      <c r="E1072" s="346" t="s">
        <v>240</v>
      </c>
      <c r="F1072" s="347"/>
    </row>
    <row r="1073" spans="1:6" ht="25.5" hidden="1" customHeight="1">
      <c r="A1073" s="901"/>
      <c r="B1073" s="1267"/>
      <c r="C1073" s="1268"/>
      <c r="D1073" s="472" t="s">
        <v>427</v>
      </c>
      <c r="E1073" s="346" t="s">
        <v>242</v>
      </c>
      <c r="F1073" s="347"/>
    </row>
    <row r="1074" spans="1:6" ht="25.5" hidden="1" customHeight="1">
      <c r="A1074" s="901"/>
      <c r="B1074" s="1267"/>
      <c r="C1074" s="1268"/>
      <c r="D1074" s="472" t="s">
        <v>461</v>
      </c>
      <c r="E1074" s="346" t="s">
        <v>244</v>
      </c>
      <c r="F1074" s="347"/>
    </row>
    <row r="1075" spans="1:6" ht="17.100000000000001" customHeight="1">
      <c r="A1075" s="901"/>
      <c r="B1075" s="1267"/>
      <c r="C1075" s="1268"/>
      <c r="D1075" s="353" t="s">
        <v>392</v>
      </c>
      <c r="E1075" s="354" t="s">
        <v>250</v>
      </c>
      <c r="F1075" s="355">
        <f>629</f>
        <v>629</v>
      </c>
    </row>
    <row r="1076" spans="1:6" ht="17.100000000000001" customHeight="1">
      <c r="A1076" s="901"/>
      <c r="B1076" s="883"/>
      <c r="C1076" s="462"/>
      <c r="D1076" s="353" t="s">
        <v>310</v>
      </c>
      <c r="E1076" s="354" t="s">
        <v>250</v>
      </c>
      <c r="F1076" s="347">
        <f>15</f>
        <v>15</v>
      </c>
    </row>
    <row r="1077" spans="1:6" ht="17.100000000000001" customHeight="1">
      <c r="A1077" s="901"/>
      <c r="B1077" s="1267"/>
      <c r="C1077" s="1268"/>
      <c r="D1077" s="353" t="s">
        <v>428</v>
      </c>
      <c r="E1077" s="346" t="s">
        <v>254</v>
      </c>
      <c r="F1077" s="893">
        <f>441</f>
        <v>441</v>
      </c>
    </row>
    <row r="1078" spans="1:6" ht="17.100000000000001" customHeight="1">
      <c r="A1078" s="901"/>
      <c r="B1078" s="883"/>
      <c r="C1078" s="460"/>
      <c r="D1078" s="351" t="s">
        <v>429</v>
      </c>
      <c r="E1078" s="346" t="s">
        <v>254</v>
      </c>
      <c r="F1078" s="344">
        <f>12</f>
        <v>12</v>
      </c>
    </row>
    <row r="1079" spans="1:6" ht="17.100000000000001" customHeight="1">
      <c r="A1079" s="901"/>
      <c r="B1079" s="1278" t="s">
        <v>529</v>
      </c>
      <c r="C1079" s="1279"/>
      <c r="D1079" s="419"/>
      <c r="E1079" s="420" t="s">
        <v>530</v>
      </c>
      <c r="F1079" s="421">
        <f>SUM(F1080+F1111)</f>
        <v>10481644</v>
      </c>
    </row>
    <row r="1080" spans="1:6" ht="17.100000000000001" customHeight="1">
      <c r="A1080" s="901"/>
      <c r="B1080" s="883"/>
      <c r="C1080" s="462"/>
      <c r="D1080" s="1284" t="s">
        <v>213</v>
      </c>
      <c r="E1080" s="1285"/>
      <c r="F1080" s="343">
        <f>F1081+F1108</f>
        <v>10264144</v>
      </c>
    </row>
    <row r="1081" spans="1:6" ht="17.100000000000001" customHeight="1">
      <c r="A1081" s="901"/>
      <c r="B1081" s="883"/>
      <c r="C1081" s="462"/>
      <c r="D1081" s="1286" t="s">
        <v>214</v>
      </c>
      <c r="E1081" s="1294"/>
      <c r="F1081" s="347">
        <f>F1082+F1089</f>
        <v>10253974</v>
      </c>
    </row>
    <row r="1082" spans="1:6" ht="17.100000000000001" customHeight="1">
      <c r="A1082" s="901"/>
      <c r="B1082" s="883"/>
      <c r="C1082" s="462"/>
      <c r="D1082" s="1288" t="s">
        <v>215</v>
      </c>
      <c r="E1082" s="1295"/>
      <c r="F1082" s="347">
        <f>SUM(F1083:F1087)</f>
        <v>8149495</v>
      </c>
    </row>
    <row r="1083" spans="1:6" ht="17.100000000000001" customHeight="1">
      <c r="A1083" s="901"/>
      <c r="B1083" s="1267"/>
      <c r="C1083" s="1268"/>
      <c r="D1083" s="472" t="s">
        <v>216</v>
      </c>
      <c r="E1083" s="346" t="s">
        <v>217</v>
      </c>
      <c r="F1083" s="347">
        <f>6372764</f>
        <v>6372764</v>
      </c>
    </row>
    <row r="1084" spans="1:6" ht="17.100000000000001" customHeight="1">
      <c r="A1084" s="901"/>
      <c r="B1084" s="1267"/>
      <c r="C1084" s="1268"/>
      <c r="D1084" s="472" t="s">
        <v>218</v>
      </c>
      <c r="E1084" s="346" t="s">
        <v>219</v>
      </c>
      <c r="F1084" s="347">
        <f>503833</f>
        <v>503833</v>
      </c>
    </row>
    <row r="1085" spans="1:6" ht="17.100000000000001" customHeight="1">
      <c r="A1085" s="901"/>
      <c r="B1085" s="1267"/>
      <c r="C1085" s="1268"/>
      <c r="D1085" s="353" t="s">
        <v>220</v>
      </c>
      <c r="E1085" s="354" t="s">
        <v>221</v>
      </c>
      <c r="F1085" s="355">
        <f>1149491</f>
        <v>1149491</v>
      </c>
    </row>
    <row r="1086" spans="1:6" ht="17.100000000000001" customHeight="1">
      <c r="A1086" s="901"/>
      <c r="B1086" s="1267"/>
      <c r="C1086" s="1269"/>
      <c r="D1086" s="479" t="s">
        <v>222</v>
      </c>
      <c r="E1086" s="418" t="s">
        <v>223</v>
      </c>
      <c r="F1086" s="347">
        <f>119157</f>
        <v>119157</v>
      </c>
    </row>
    <row r="1087" spans="1:6" ht="17.100000000000001" customHeight="1">
      <c r="A1087" s="901"/>
      <c r="B1087" s="1267"/>
      <c r="C1087" s="1268"/>
      <c r="D1087" s="882" t="s">
        <v>224</v>
      </c>
      <c r="E1087" s="895" t="s">
        <v>225</v>
      </c>
      <c r="F1087" s="896">
        <f>4250</f>
        <v>4250</v>
      </c>
    </row>
    <row r="1088" spans="1:6" ht="17.100000000000001" customHeight="1">
      <c r="A1088" s="901"/>
      <c r="B1088" s="883"/>
      <c r="C1088" s="462"/>
      <c r="D1088" s="1388"/>
      <c r="E1088" s="1389"/>
      <c r="F1088" s="1390"/>
    </row>
    <row r="1089" spans="1:6" ht="17.100000000000001" customHeight="1">
      <c r="A1089" s="901"/>
      <c r="B1089" s="883"/>
      <c r="C1089" s="462"/>
      <c r="D1089" s="1292" t="s">
        <v>226</v>
      </c>
      <c r="E1089" s="1293"/>
      <c r="F1089" s="395">
        <f>SUM(F1090:F1106)</f>
        <v>2104479</v>
      </c>
    </row>
    <row r="1090" spans="1:6" ht="17.100000000000001" customHeight="1">
      <c r="A1090" s="901"/>
      <c r="B1090" s="883"/>
      <c r="C1090" s="462"/>
      <c r="D1090" s="352" t="s">
        <v>227</v>
      </c>
      <c r="E1090" s="356" t="s">
        <v>228</v>
      </c>
      <c r="F1090" s="377">
        <f>34312</f>
        <v>34312</v>
      </c>
    </row>
    <row r="1091" spans="1:6" ht="17.100000000000001" customHeight="1">
      <c r="A1091" s="901"/>
      <c r="B1091" s="1267"/>
      <c r="C1091" s="1268"/>
      <c r="D1091" s="472" t="s">
        <v>229</v>
      </c>
      <c r="E1091" s="346" t="s">
        <v>230</v>
      </c>
      <c r="F1091" s="347">
        <f>199863</f>
        <v>199863</v>
      </c>
    </row>
    <row r="1092" spans="1:6" ht="17.100000000000001" customHeight="1">
      <c r="A1092" s="901"/>
      <c r="B1092" s="1267"/>
      <c r="C1092" s="1268"/>
      <c r="D1092" s="472" t="s">
        <v>405</v>
      </c>
      <c r="E1092" s="346" t="s">
        <v>406</v>
      </c>
      <c r="F1092" s="347">
        <f>183170</f>
        <v>183170</v>
      </c>
    </row>
    <row r="1093" spans="1:6" ht="17.100000000000001" customHeight="1">
      <c r="A1093" s="901"/>
      <c r="B1093" s="1267"/>
      <c r="C1093" s="1268"/>
      <c r="D1093" s="472" t="s">
        <v>231</v>
      </c>
      <c r="E1093" s="346" t="s">
        <v>232</v>
      </c>
      <c r="F1093" s="347">
        <f>559595</f>
        <v>559595</v>
      </c>
    </row>
    <row r="1094" spans="1:6" ht="17.100000000000001" customHeight="1">
      <c r="A1094" s="901"/>
      <c r="B1094" s="1267"/>
      <c r="C1094" s="1268"/>
      <c r="D1094" s="472" t="s">
        <v>233</v>
      </c>
      <c r="E1094" s="346" t="s">
        <v>234</v>
      </c>
      <c r="F1094" s="347">
        <f>44600</f>
        <v>44600</v>
      </c>
    </row>
    <row r="1095" spans="1:6" ht="17.100000000000001" customHeight="1">
      <c r="A1095" s="901"/>
      <c r="B1095" s="1267"/>
      <c r="C1095" s="1268"/>
      <c r="D1095" s="472" t="s">
        <v>235</v>
      </c>
      <c r="E1095" s="346" t="s">
        <v>236</v>
      </c>
      <c r="F1095" s="347">
        <f>7165</f>
        <v>7165</v>
      </c>
    </row>
    <row r="1096" spans="1:6" ht="17.100000000000001" customHeight="1">
      <c r="A1096" s="901"/>
      <c r="B1096" s="1267"/>
      <c r="C1096" s="1268"/>
      <c r="D1096" s="472" t="s">
        <v>237</v>
      </c>
      <c r="E1096" s="346" t="s">
        <v>238</v>
      </c>
      <c r="F1096" s="347">
        <f>282209</f>
        <v>282209</v>
      </c>
    </row>
    <row r="1097" spans="1:6" ht="30.75" customHeight="1">
      <c r="A1097" s="901"/>
      <c r="B1097" s="883"/>
      <c r="C1097" s="462"/>
      <c r="D1097" s="472" t="s">
        <v>516</v>
      </c>
      <c r="E1097" s="346" t="s">
        <v>517</v>
      </c>
      <c r="F1097" s="347">
        <f>6000</f>
        <v>6000</v>
      </c>
    </row>
    <row r="1098" spans="1:6" ht="17.100000000000001" customHeight="1">
      <c r="A1098" s="901"/>
      <c r="B1098" s="1267"/>
      <c r="C1098" s="1268"/>
      <c r="D1098" s="472" t="s">
        <v>239</v>
      </c>
      <c r="E1098" s="346" t="s">
        <v>240</v>
      </c>
      <c r="F1098" s="347">
        <f>69584</f>
        <v>69584</v>
      </c>
    </row>
    <row r="1099" spans="1:6" ht="24" customHeight="1">
      <c r="A1099" s="901"/>
      <c r="B1099" s="1267"/>
      <c r="C1099" s="1268"/>
      <c r="D1099" s="472" t="s">
        <v>241</v>
      </c>
      <c r="E1099" s="346" t="s">
        <v>242</v>
      </c>
      <c r="F1099" s="347">
        <f>3154</f>
        <v>3154</v>
      </c>
    </row>
    <row r="1100" spans="1:6" ht="24.75" customHeight="1">
      <c r="A1100" s="901"/>
      <c r="B1100" s="1267"/>
      <c r="C1100" s="1268"/>
      <c r="D1100" s="472" t="s">
        <v>243</v>
      </c>
      <c r="E1100" s="346" t="s">
        <v>244</v>
      </c>
      <c r="F1100" s="347">
        <f>29105</f>
        <v>29105</v>
      </c>
    </row>
    <row r="1101" spans="1:6" ht="20.25" customHeight="1">
      <c r="A1101" s="901"/>
      <c r="B1101" s="1267"/>
      <c r="C1101" s="1268"/>
      <c r="D1101" s="472" t="s">
        <v>247</v>
      </c>
      <c r="E1101" s="346" t="s">
        <v>248</v>
      </c>
      <c r="F1101" s="347">
        <f>305775</f>
        <v>305775</v>
      </c>
    </row>
    <row r="1102" spans="1:6" ht="17.100000000000001" customHeight="1">
      <c r="A1102" s="901"/>
      <c r="B1102" s="1267"/>
      <c r="C1102" s="1268"/>
      <c r="D1102" s="472" t="s">
        <v>249</v>
      </c>
      <c r="E1102" s="346" t="s">
        <v>250</v>
      </c>
      <c r="F1102" s="347">
        <f>17850</f>
        <v>17850</v>
      </c>
    </row>
    <row r="1103" spans="1:6" ht="17.100000000000001" customHeight="1">
      <c r="A1103" s="901"/>
      <c r="B1103" s="1267"/>
      <c r="C1103" s="1268"/>
      <c r="D1103" s="472" t="s">
        <v>251</v>
      </c>
      <c r="E1103" s="346" t="s">
        <v>252</v>
      </c>
      <c r="F1103" s="347">
        <f>20380</f>
        <v>20380</v>
      </c>
    </row>
    <row r="1104" spans="1:6" ht="17.100000000000001" customHeight="1">
      <c r="A1104" s="901"/>
      <c r="B1104" s="1267"/>
      <c r="C1104" s="1268"/>
      <c r="D1104" s="472" t="s">
        <v>253</v>
      </c>
      <c r="E1104" s="346" t="s">
        <v>254</v>
      </c>
      <c r="F1104" s="347">
        <f>325285</f>
        <v>325285</v>
      </c>
    </row>
    <row r="1105" spans="1:6" ht="17.100000000000001" customHeight="1">
      <c r="A1105" s="901"/>
      <c r="B1105" s="883"/>
      <c r="C1105" s="462"/>
      <c r="D1105" s="472" t="s">
        <v>259</v>
      </c>
      <c r="E1105" s="346" t="s">
        <v>260</v>
      </c>
      <c r="F1105" s="347">
        <f>592</f>
        <v>592</v>
      </c>
    </row>
    <row r="1106" spans="1:6" ht="17.100000000000001" customHeight="1">
      <c r="A1106" s="901"/>
      <c r="B1106" s="1267"/>
      <c r="C1106" s="1268"/>
      <c r="D1106" s="472" t="s">
        <v>261</v>
      </c>
      <c r="E1106" s="346" t="s">
        <v>262</v>
      </c>
      <c r="F1106" s="347">
        <f>15840</f>
        <v>15840</v>
      </c>
    </row>
    <row r="1107" spans="1:6" ht="17.100000000000001" customHeight="1">
      <c r="A1107" s="901"/>
      <c r="B1107" s="883"/>
      <c r="C1107" s="462"/>
      <c r="D1107" s="1267"/>
      <c r="E1107" s="1269"/>
      <c r="F1107" s="1270"/>
    </row>
    <row r="1108" spans="1:6" ht="17.100000000000001" customHeight="1">
      <c r="A1108" s="901"/>
      <c r="B1108" s="883"/>
      <c r="C1108" s="462"/>
      <c r="D1108" s="1290" t="s">
        <v>467</v>
      </c>
      <c r="E1108" s="1291"/>
      <c r="F1108" s="347">
        <f>F1109</f>
        <v>10170</v>
      </c>
    </row>
    <row r="1109" spans="1:6" ht="17.100000000000001" customHeight="1">
      <c r="A1109" s="901"/>
      <c r="B1109" s="883"/>
      <c r="C1109" s="462"/>
      <c r="D1109" s="353" t="s">
        <v>264</v>
      </c>
      <c r="E1109" s="354" t="s">
        <v>265</v>
      </c>
      <c r="F1109" s="355">
        <f>10170</f>
        <v>10170</v>
      </c>
    </row>
    <row r="1110" spans="1:6" ht="17.100000000000001" customHeight="1">
      <c r="A1110" s="901"/>
      <c r="B1110" s="883"/>
      <c r="C1110" s="462"/>
      <c r="D1110" s="1391"/>
      <c r="E1110" s="1391"/>
      <c r="F1110" s="1392"/>
    </row>
    <row r="1111" spans="1:6" ht="17.100000000000001" customHeight="1">
      <c r="A1111" s="901"/>
      <c r="B1111" s="883"/>
      <c r="C1111" s="462"/>
      <c r="D1111" s="1296" t="s">
        <v>281</v>
      </c>
      <c r="E1111" s="1297"/>
      <c r="F1111" s="422">
        <f>F1112</f>
        <v>217500</v>
      </c>
    </row>
    <row r="1112" spans="1:6" ht="17.100000000000001" customHeight="1">
      <c r="A1112" s="901"/>
      <c r="B1112" s="883"/>
      <c r="C1112" s="462"/>
      <c r="D1112" s="1290" t="s">
        <v>904</v>
      </c>
      <c r="E1112" s="1291"/>
      <c r="F1112" s="422">
        <f>F1113</f>
        <v>217500</v>
      </c>
    </row>
    <row r="1113" spans="1:6" ht="17.100000000000001" customHeight="1">
      <c r="A1113" s="901"/>
      <c r="B1113" s="883"/>
      <c r="C1113" s="462"/>
      <c r="D1113" s="472" t="s">
        <v>270</v>
      </c>
      <c r="E1113" s="346" t="s">
        <v>271</v>
      </c>
      <c r="F1113" s="422">
        <f>217500</f>
        <v>217500</v>
      </c>
    </row>
    <row r="1114" spans="1:6" ht="17.100000000000001" customHeight="1">
      <c r="A1114" s="901"/>
      <c r="B1114" s="1278" t="s">
        <v>531</v>
      </c>
      <c r="C1114" s="1279"/>
      <c r="D1114" s="419"/>
      <c r="E1114" s="420" t="s">
        <v>332</v>
      </c>
      <c r="F1114" s="421">
        <f>F1115+F1168</f>
        <v>8274788</v>
      </c>
    </row>
    <row r="1115" spans="1:6" ht="17.100000000000001" customHeight="1">
      <c r="A1115" s="901"/>
      <c r="B1115" s="883"/>
      <c r="C1115" s="462"/>
      <c r="D1115" s="1284" t="s">
        <v>213</v>
      </c>
      <c r="E1115" s="1285"/>
      <c r="F1115" s="343">
        <f>F1116+F1128+F1131+F1136</f>
        <v>8094608</v>
      </c>
    </row>
    <row r="1116" spans="1:6" ht="17.100000000000001" customHeight="1">
      <c r="A1116" s="901"/>
      <c r="B1116" s="883"/>
      <c r="C1116" s="462"/>
      <c r="D1116" s="1286" t="s">
        <v>214</v>
      </c>
      <c r="E1116" s="1294"/>
      <c r="F1116" s="347">
        <f>F1117+F1123</f>
        <v>545761</v>
      </c>
    </row>
    <row r="1117" spans="1:6" ht="17.100000000000001" customHeight="1">
      <c r="A1117" s="901"/>
      <c r="B1117" s="883"/>
      <c r="C1117" s="462"/>
      <c r="D1117" s="1288" t="s">
        <v>215</v>
      </c>
      <c r="E1117" s="1295"/>
      <c r="F1117" s="347">
        <f>SUM(F1118:F1121)</f>
        <v>65571</v>
      </c>
    </row>
    <row r="1118" spans="1:6" ht="17.100000000000001" customHeight="1">
      <c r="A1118" s="901"/>
      <c r="B1118" s="1267"/>
      <c r="C1118" s="1268"/>
      <c r="D1118" s="472" t="s">
        <v>216</v>
      </c>
      <c r="E1118" s="346" t="s">
        <v>217</v>
      </c>
      <c r="F1118" s="347">
        <f>52237</f>
        <v>52237</v>
      </c>
    </row>
    <row r="1119" spans="1:6" ht="17.100000000000001" customHeight="1">
      <c r="A1119" s="901"/>
      <c r="B1119" s="883"/>
      <c r="C1119" s="462"/>
      <c r="D1119" s="472" t="s">
        <v>220</v>
      </c>
      <c r="E1119" s="346" t="s">
        <v>221</v>
      </c>
      <c r="F1119" s="347">
        <f>8880</f>
        <v>8880</v>
      </c>
    </row>
    <row r="1120" spans="1:6" ht="17.100000000000001" customHeight="1">
      <c r="A1120" s="901"/>
      <c r="B1120" s="883"/>
      <c r="C1120" s="462"/>
      <c r="D1120" s="472" t="s">
        <v>222</v>
      </c>
      <c r="E1120" s="346" t="s">
        <v>223</v>
      </c>
      <c r="F1120" s="347">
        <f>1254</f>
        <v>1254</v>
      </c>
    </row>
    <row r="1121" spans="1:6" ht="17.100000000000001" customHeight="1">
      <c r="A1121" s="901"/>
      <c r="B1121" s="883"/>
      <c r="C1121" s="462"/>
      <c r="D1121" s="472" t="s">
        <v>224</v>
      </c>
      <c r="E1121" s="346" t="s">
        <v>225</v>
      </c>
      <c r="F1121" s="347">
        <f>3200</f>
        <v>3200</v>
      </c>
    </row>
    <row r="1122" spans="1:6" ht="17.100000000000001" customHeight="1">
      <c r="A1122" s="901"/>
      <c r="B1122" s="883"/>
      <c r="C1122" s="462"/>
      <c r="D1122" s="1267"/>
      <c r="E1122" s="1269"/>
      <c r="F1122" s="1270"/>
    </row>
    <row r="1123" spans="1:6" ht="17.100000000000001" customHeight="1">
      <c r="A1123" s="901"/>
      <c r="B1123" s="883"/>
      <c r="C1123" s="462"/>
      <c r="D1123" s="1292" t="s">
        <v>226</v>
      </c>
      <c r="E1123" s="1293"/>
      <c r="F1123" s="347">
        <f>SUM(F1124:F1126)</f>
        <v>480190</v>
      </c>
    </row>
    <row r="1124" spans="1:6" ht="17.100000000000001" customHeight="1">
      <c r="A1124" s="901"/>
      <c r="B1124" s="883"/>
      <c r="C1124" s="462"/>
      <c r="D1124" s="472" t="s">
        <v>229</v>
      </c>
      <c r="E1124" s="346" t="s">
        <v>230</v>
      </c>
      <c r="F1124" s="347">
        <f>14000</f>
        <v>14000</v>
      </c>
    </row>
    <row r="1125" spans="1:6" ht="17.100000000000001" customHeight="1">
      <c r="A1125" s="901"/>
      <c r="B1125" s="883"/>
      <c r="C1125" s="462"/>
      <c r="D1125" s="472" t="s">
        <v>237</v>
      </c>
      <c r="E1125" s="346" t="s">
        <v>238</v>
      </c>
      <c r="F1125" s="347">
        <f>23000</f>
        <v>23000</v>
      </c>
    </row>
    <row r="1126" spans="1:6" ht="17.100000000000001" customHeight="1">
      <c r="A1126" s="901"/>
      <c r="B1126" s="883"/>
      <c r="C1126" s="462"/>
      <c r="D1126" s="472" t="s">
        <v>253</v>
      </c>
      <c r="E1126" s="346" t="s">
        <v>254</v>
      </c>
      <c r="F1126" s="347">
        <f>443190</f>
        <v>443190</v>
      </c>
    </row>
    <row r="1127" spans="1:6" ht="17.100000000000001" customHeight="1">
      <c r="A1127" s="901"/>
      <c r="B1127" s="883"/>
      <c r="C1127" s="462"/>
      <c r="D1127" s="1267"/>
      <c r="E1127" s="1269"/>
      <c r="F1127" s="1270"/>
    </row>
    <row r="1128" spans="1:6" ht="17.100000000000001" customHeight="1">
      <c r="A1128" s="901"/>
      <c r="B1128" s="883"/>
      <c r="C1128" s="462"/>
      <c r="D1128" s="1290" t="s">
        <v>286</v>
      </c>
      <c r="E1128" s="1291"/>
      <c r="F1128" s="347">
        <f>F1129</f>
        <v>1442590</v>
      </c>
    </row>
    <row r="1129" spans="1:6" ht="39" customHeight="1">
      <c r="A1129" s="901"/>
      <c r="B1129" s="883"/>
      <c r="C1129" s="462"/>
      <c r="D1129" s="472" t="s">
        <v>348</v>
      </c>
      <c r="E1129" s="346" t="s">
        <v>349</v>
      </c>
      <c r="F1129" s="347">
        <f>1442590</f>
        <v>1442590</v>
      </c>
    </row>
    <row r="1130" spans="1:6" ht="17.100000000000001" customHeight="1">
      <c r="A1130" s="901"/>
      <c r="B1130" s="883"/>
      <c r="C1130" s="462"/>
      <c r="D1130" s="1267"/>
      <c r="E1130" s="1269"/>
      <c r="F1130" s="1270"/>
    </row>
    <row r="1131" spans="1:6" ht="17.100000000000001" customHeight="1">
      <c r="A1131" s="901"/>
      <c r="B1131" s="883"/>
      <c r="C1131" s="462"/>
      <c r="D1131" s="1290" t="s">
        <v>467</v>
      </c>
      <c r="E1131" s="1291"/>
      <c r="F1131" s="347">
        <f>SUM(F1132:F1134)</f>
        <v>352237</v>
      </c>
    </row>
    <row r="1132" spans="1:6" ht="17.100000000000001" customHeight="1">
      <c r="A1132" s="901"/>
      <c r="B1132" s="883"/>
      <c r="C1132" s="462"/>
      <c r="D1132" s="472" t="s">
        <v>264</v>
      </c>
      <c r="E1132" s="346" t="s">
        <v>265</v>
      </c>
      <c r="F1132" s="347">
        <f>52237</f>
        <v>52237</v>
      </c>
    </row>
    <row r="1133" spans="1:6" ht="17.100000000000001" customHeight="1">
      <c r="A1133" s="901"/>
      <c r="B1133" s="883"/>
      <c r="C1133" s="462"/>
      <c r="D1133" s="472" t="s">
        <v>532</v>
      </c>
      <c r="E1133" s="346" t="s">
        <v>444</v>
      </c>
      <c r="F1133" s="347">
        <f>100000</f>
        <v>100000</v>
      </c>
    </row>
    <row r="1134" spans="1:6" ht="17.100000000000001" customHeight="1">
      <c r="A1134" s="901"/>
      <c r="B1134" s="883"/>
      <c r="C1134" s="462"/>
      <c r="D1134" s="472" t="s">
        <v>533</v>
      </c>
      <c r="E1134" s="346" t="s">
        <v>534</v>
      </c>
      <c r="F1134" s="347">
        <f>200000</f>
        <v>200000</v>
      </c>
    </row>
    <row r="1135" spans="1:6" ht="17.100000000000001" customHeight="1">
      <c r="A1135" s="901"/>
      <c r="B1135" s="883"/>
      <c r="C1135" s="462"/>
      <c r="D1135" s="1267"/>
      <c r="E1135" s="1269"/>
      <c r="F1135" s="1270"/>
    </row>
    <row r="1136" spans="1:6" ht="17.100000000000001" customHeight="1">
      <c r="A1136" s="901"/>
      <c r="B1136" s="883"/>
      <c r="C1136" s="462"/>
      <c r="D1136" s="1286" t="s">
        <v>343</v>
      </c>
      <c r="E1136" s="1294"/>
      <c r="F1136" s="347">
        <f>SUM(F1137:F1166)</f>
        <v>5754020</v>
      </c>
    </row>
    <row r="1137" spans="1:6" ht="39" customHeight="1">
      <c r="A1137" s="901"/>
      <c r="B1137" s="883"/>
      <c r="C1137" s="462"/>
      <c r="D1137" s="472" t="s">
        <v>422</v>
      </c>
      <c r="E1137" s="346" t="s">
        <v>349</v>
      </c>
      <c r="F1137" s="347">
        <f>4943420</f>
        <v>4943420</v>
      </c>
    </row>
    <row r="1138" spans="1:6" ht="36" customHeight="1">
      <c r="A1138" s="901"/>
      <c r="B1138" s="883"/>
      <c r="C1138" s="462"/>
      <c r="D1138" s="472" t="s">
        <v>348</v>
      </c>
      <c r="E1138" s="346" t="s">
        <v>349</v>
      </c>
      <c r="F1138" s="347">
        <f>88415</f>
        <v>88415</v>
      </c>
    </row>
    <row r="1139" spans="1:6" ht="17.100000000000001" customHeight="1">
      <c r="A1139" s="901"/>
      <c r="B1139" s="1267"/>
      <c r="C1139" s="1268"/>
      <c r="D1139" s="472" t="s">
        <v>362</v>
      </c>
      <c r="E1139" s="346" t="s">
        <v>217</v>
      </c>
      <c r="F1139" s="347">
        <f>338691</f>
        <v>338691</v>
      </c>
    </row>
    <row r="1140" spans="1:6" ht="17.100000000000001" customHeight="1">
      <c r="A1140" s="901"/>
      <c r="B1140" s="1267"/>
      <c r="C1140" s="1268"/>
      <c r="D1140" s="472" t="s">
        <v>292</v>
      </c>
      <c r="E1140" s="346" t="s">
        <v>217</v>
      </c>
      <c r="F1140" s="347">
        <f>59769</f>
        <v>59769</v>
      </c>
    </row>
    <row r="1141" spans="1:6" ht="17.100000000000001" customHeight="1">
      <c r="A1141" s="901"/>
      <c r="B1141" s="883"/>
      <c r="C1141" s="462"/>
      <c r="D1141" s="472" t="s">
        <v>423</v>
      </c>
      <c r="E1141" s="346" t="s">
        <v>219</v>
      </c>
      <c r="F1141" s="347">
        <f>51000</f>
        <v>51000</v>
      </c>
    </row>
    <row r="1142" spans="1:6" ht="17.100000000000001" customHeight="1">
      <c r="A1142" s="901"/>
      <c r="B1142" s="883"/>
      <c r="C1142" s="462"/>
      <c r="D1142" s="472" t="s">
        <v>294</v>
      </c>
      <c r="E1142" s="346" t="s">
        <v>219</v>
      </c>
      <c r="F1142" s="347">
        <f>9000</f>
        <v>9000</v>
      </c>
    </row>
    <row r="1143" spans="1:6" ht="17.100000000000001" customHeight="1">
      <c r="A1143" s="901"/>
      <c r="B1143" s="1267"/>
      <c r="C1143" s="1268"/>
      <c r="D1143" s="472" t="s">
        <v>363</v>
      </c>
      <c r="E1143" s="346" t="s">
        <v>221</v>
      </c>
      <c r="F1143" s="347">
        <f>66988</f>
        <v>66988</v>
      </c>
    </row>
    <row r="1144" spans="1:6" ht="17.100000000000001" customHeight="1">
      <c r="A1144" s="901"/>
      <c r="B1144" s="1267"/>
      <c r="C1144" s="1268"/>
      <c r="D1144" s="472" t="s">
        <v>296</v>
      </c>
      <c r="E1144" s="346" t="s">
        <v>221</v>
      </c>
      <c r="F1144" s="347">
        <f>11821</f>
        <v>11821</v>
      </c>
    </row>
    <row r="1145" spans="1:6" ht="17.100000000000001" customHeight="1">
      <c r="A1145" s="901"/>
      <c r="B1145" s="1267"/>
      <c r="C1145" s="1268"/>
      <c r="D1145" s="472" t="s">
        <v>364</v>
      </c>
      <c r="E1145" s="346" t="s">
        <v>223</v>
      </c>
      <c r="F1145" s="347">
        <f>9547</f>
        <v>9547</v>
      </c>
    </row>
    <row r="1146" spans="1:6" ht="17.100000000000001" customHeight="1">
      <c r="A1146" s="901"/>
      <c r="B1146" s="1267"/>
      <c r="C1146" s="1268"/>
      <c r="D1146" s="472" t="s">
        <v>298</v>
      </c>
      <c r="E1146" s="346" t="s">
        <v>223</v>
      </c>
      <c r="F1146" s="347">
        <f>1684</f>
        <v>1684</v>
      </c>
    </row>
    <row r="1147" spans="1:6" ht="17.100000000000001" customHeight="1">
      <c r="A1147" s="901"/>
      <c r="B1147" s="1267"/>
      <c r="C1147" s="1268"/>
      <c r="D1147" s="472" t="s">
        <v>365</v>
      </c>
      <c r="E1147" s="346" t="s">
        <v>230</v>
      </c>
      <c r="F1147" s="347">
        <f>5100</f>
        <v>5100</v>
      </c>
    </row>
    <row r="1148" spans="1:6" ht="17.100000000000001" customHeight="1">
      <c r="A1148" s="901"/>
      <c r="B1148" s="1267"/>
      <c r="C1148" s="1268"/>
      <c r="D1148" s="472" t="s">
        <v>302</v>
      </c>
      <c r="E1148" s="346" t="s">
        <v>230</v>
      </c>
      <c r="F1148" s="347">
        <f>900</f>
        <v>900</v>
      </c>
    </row>
    <row r="1149" spans="1:6" ht="17.100000000000001" customHeight="1">
      <c r="A1149" s="901"/>
      <c r="B1149" s="1267"/>
      <c r="C1149" s="1268"/>
      <c r="D1149" s="472" t="s">
        <v>366</v>
      </c>
      <c r="E1149" s="346" t="s">
        <v>238</v>
      </c>
      <c r="F1149" s="347">
        <f>109460</f>
        <v>109460</v>
      </c>
    </row>
    <row r="1150" spans="1:6" ht="17.100000000000001" customHeight="1">
      <c r="A1150" s="901"/>
      <c r="B1150" s="1267"/>
      <c r="C1150" s="1268"/>
      <c r="D1150" s="472" t="s">
        <v>304</v>
      </c>
      <c r="E1150" s="346" t="s">
        <v>238</v>
      </c>
      <c r="F1150" s="347">
        <f>19315</f>
        <v>19315</v>
      </c>
    </row>
    <row r="1151" spans="1:6" ht="17.100000000000001" customHeight="1">
      <c r="A1151" s="901"/>
      <c r="B1151" s="1267"/>
      <c r="C1151" s="1268"/>
      <c r="D1151" s="472" t="s">
        <v>426</v>
      </c>
      <c r="E1151" s="346" t="s">
        <v>240</v>
      </c>
      <c r="F1151" s="347">
        <f>2040</f>
        <v>2040</v>
      </c>
    </row>
    <row r="1152" spans="1:6" ht="17.100000000000001" customHeight="1">
      <c r="A1152" s="901"/>
      <c r="B1152" s="1267"/>
      <c r="C1152" s="1268"/>
      <c r="D1152" s="472" t="s">
        <v>306</v>
      </c>
      <c r="E1152" s="346" t="s">
        <v>240</v>
      </c>
      <c r="F1152" s="347">
        <f>360</f>
        <v>360</v>
      </c>
    </row>
    <row r="1153" spans="1:6" ht="27.75" customHeight="1">
      <c r="A1153" s="901"/>
      <c r="B1153" s="1267"/>
      <c r="C1153" s="1268"/>
      <c r="D1153" s="472" t="s">
        <v>427</v>
      </c>
      <c r="E1153" s="346" t="s">
        <v>242</v>
      </c>
      <c r="F1153" s="347">
        <f>306</f>
        <v>306</v>
      </c>
    </row>
    <row r="1154" spans="1:6" ht="24.75" customHeight="1">
      <c r="A1154" s="901"/>
      <c r="B1154" s="1267"/>
      <c r="C1154" s="1268"/>
      <c r="D1154" s="472" t="s">
        <v>308</v>
      </c>
      <c r="E1154" s="346" t="s">
        <v>242</v>
      </c>
      <c r="F1154" s="347">
        <f>54</f>
        <v>54</v>
      </c>
    </row>
    <row r="1155" spans="1:6" ht="30" customHeight="1">
      <c r="A1155" s="901"/>
      <c r="B1155" s="1267"/>
      <c r="C1155" s="1268"/>
      <c r="D1155" s="472" t="s">
        <v>461</v>
      </c>
      <c r="E1155" s="346" t="s">
        <v>244</v>
      </c>
      <c r="F1155" s="347">
        <f>2550</f>
        <v>2550</v>
      </c>
    </row>
    <row r="1156" spans="1:6" ht="30" customHeight="1">
      <c r="A1156" s="901"/>
      <c r="B1156" s="1267"/>
      <c r="C1156" s="1268"/>
      <c r="D1156" s="472" t="s">
        <v>447</v>
      </c>
      <c r="E1156" s="346" t="s">
        <v>244</v>
      </c>
      <c r="F1156" s="347">
        <f>450</f>
        <v>450</v>
      </c>
    </row>
    <row r="1157" spans="1:6" ht="17.100000000000001" hidden="1" customHeight="1">
      <c r="A1157" s="901"/>
      <c r="B1157" s="883"/>
      <c r="C1157" s="462"/>
      <c r="D1157" s="472" t="s">
        <v>535</v>
      </c>
      <c r="E1157" s="346" t="s">
        <v>442</v>
      </c>
      <c r="F1157" s="347"/>
    </row>
    <row r="1158" spans="1:6" ht="17.100000000000001" hidden="1" customHeight="1">
      <c r="A1158" s="901"/>
      <c r="B1158" s="883"/>
      <c r="C1158" s="462"/>
      <c r="D1158" s="472" t="s">
        <v>449</v>
      </c>
      <c r="E1158" s="346" t="s">
        <v>442</v>
      </c>
      <c r="F1158" s="347"/>
    </row>
    <row r="1159" spans="1:6" ht="23.25" customHeight="1">
      <c r="A1159" s="901"/>
      <c r="B1159" s="1267"/>
      <c r="C1159" s="1268"/>
      <c r="D1159" s="472" t="s">
        <v>462</v>
      </c>
      <c r="E1159" s="346" t="s">
        <v>248</v>
      </c>
      <c r="F1159" s="347">
        <f>18615</f>
        <v>18615</v>
      </c>
    </row>
    <row r="1160" spans="1:6" ht="21.75" customHeight="1">
      <c r="A1160" s="901"/>
      <c r="B1160" s="1267"/>
      <c r="C1160" s="1268"/>
      <c r="D1160" s="472" t="s">
        <v>452</v>
      </c>
      <c r="E1160" s="346" t="s">
        <v>248</v>
      </c>
      <c r="F1160" s="347">
        <f>3285</f>
        <v>3285</v>
      </c>
    </row>
    <row r="1161" spans="1:6" ht="17.100000000000001" customHeight="1">
      <c r="A1161" s="901"/>
      <c r="B1161" s="1267"/>
      <c r="C1161" s="1268"/>
      <c r="D1161" s="472" t="s">
        <v>392</v>
      </c>
      <c r="E1161" s="346" t="s">
        <v>250</v>
      </c>
      <c r="F1161" s="347">
        <f>3060</f>
        <v>3060</v>
      </c>
    </row>
    <row r="1162" spans="1:6" ht="17.100000000000001" customHeight="1">
      <c r="A1162" s="901"/>
      <c r="B1162" s="1267"/>
      <c r="C1162" s="1268"/>
      <c r="D1162" s="472" t="s">
        <v>310</v>
      </c>
      <c r="E1162" s="346" t="s">
        <v>250</v>
      </c>
      <c r="F1162" s="347">
        <f>540</f>
        <v>540</v>
      </c>
    </row>
    <row r="1163" spans="1:6" ht="17.100000000000001" customHeight="1">
      <c r="A1163" s="901"/>
      <c r="B1163" s="1267"/>
      <c r="C1163" s="1268"/>
      <c r="D1163" s="472" t="s">
        <v>428</v>
      </c>
      <c r="E1163" s="346" t="s">
        <v>254</v>
      </c>
      <c r="F1163" s="347">
        <f>6078</f>
        <v>6078</v>
      </c>
    </row>
    <row r="1164" spans="1:6" ht="17.100000000000001" customHeight="1">
      <c r="A1164" s="901"/>
      <c r="B1164" s="1267"/>
      <c r="C1164" s="1268"/>
      <c r="D1164" s="353" t="s">
        <v>429</v>
      </c>
      <c r="E1164" s="354" t="s">
        <v>254</v>
      </c>
      <c r="F1164" s="355">
        <f>1072</f>
        <v>1072</v>
      </c>
    </row>
    <row r="1165" spans="1:6" ht="17.100000000000001" customHeight="1">
      <c r="A1165" s="901"/>
      <c r="B1165" s="883"/>
      <c r="C1165" s="460"/>
      <c r="D1165" s="351" t="s">
        <v>536</v>
      </c>
      <c r="E1165" s="476" t="s">
        <v>260</v>
      </c>
      <c r="F1165" s="347">
        <f>425</f>
        <v>425</v>
      </c>
    </row>
    <row r="1166" spans="1:6" ht="17.100000000000001" customHeight="1">
      <c r="A1166" s="901"/>
      <c r="B1166" s="883"/>
      <c r="C1166" s="460"/>
      <c r="D1166" s="351" t="s">
        <v>454</v>
      </c>
      <c r="E1166" s="476" t="s">
        <v>260</v>
      </c>
      <c r="F1166" s="347">
        <f>75</f>
        <v>75</v>
      </c>
    </row>
    <row r="1167" spans="1:6" ht="17.100000000000001" customHeight="1">
      <c r="A1167" s="901"/>
      <c r="B1167" s="883"/>
      <c r="C1167" s="462"/>
      <c r="D1167" s="1267"/>
      <c r="E1167" s="1269"/>
      <c r="F1167" s="1270"/>
    </row>
    <row r="1168" spans="1:6" ht="17.100000000000001" customHeight="1">
      <c r="A1168" s="901"/>
      <c r="B1168" s="883"/>
      <c r="C1168" s="462"/>
      <c r="D1168" s="1296" t="s">
        <v>281</v>
      </c>
      <c r="E1168" s="1297"/>
      <c r="F1168" s="343">
        <f>F1169</f>
        <v>180180</v>
      </c>
    </row>
    <row r="1169" spans="1:7" ht="17.100000000000001" customHeight="1">
      <c r="A1169" s="901"/>
      <c r="B1169" s="883"/>
      <c r="C1169" s="462"/>
      <c r="D1169" s="1290" t="s">
        <v>904</v>
      </c>
      <c r="E1169" s="1291"/>
      <c r="F1169" s="347">
        <f>SUM(F1170:F1171)</f>
        <v>180180</v>
      </c>
      <c r="G1169" s="375"/>
    </row>
    <row r="1170" spans="1:7" ht="42" hidden="1" customHeight="1">
      <c r="A1170" s="901"/>
      <c r="B1170" s="1267"/>
      <c r="C1170" s="1268"/>
      <c r="D1170" s="472" t="s">
        <v>394</v>
      </c>
      <c r="E1170" s="346" t="s">
        <v>349</v>
      </c>
      <c r="F1170" s="347"/>
      <c r="G1170" s="363"/>
    </row>
    <row r="1171" spans="1:7" ht="37.5" customHeight="1">
      <c r="A1171" s="901"/>
      <c r="B1171" s="1299"/>
      <c r="C1171" s="1300"/>
      <c r="D1171" s="472" t="s">
        <v>350</v>
      </c>
      <c r="E1171" s="346" t="s">
        <v>349</v>
      </c>
      <c r="F1171" s="347">
        <f>180180</f>
        <v>180180</v>
      </c>
    </row>
    <row r="1172" spans="1:7" ht="17.100000000000001" customHeight="1">
      <c r="A1172" s="900" t="s">
        <v>537</v>
      </c>
      <c r="B1172" s="1276"/>
      <c r="C1172" s="1277"/>
      <c r="D1172" s="337"/>
      <c r="E1172" s="338" t="s">
        <v>538</v>
      </c>
      <c r="F1172" s="339">
        <f>F1173+F1177+F1181</f>
        <v>3515653</v>
      </c>
    </row>
    <row r="1173" spans="1:7" ht="17.100000000000001" customHeight="1">
      <c r="A1173" s="906"/>
      <c r="B1173" s="423"/>
      <c r="C1173" s="464" t="s">
        <v>539</v>
      </c>
      <c r="D1173" s="340"/>
      <c r="E1173" s="341" t="s">
        <v>540</v>
      </c>
      <c r="F1173" s="342">
        <f>F1174</f>
        <v>2165653</v>
      </c>
    </row>
    <row r="1174" spans="1:7" ht="17.100000000000001" customHeight="1">
      <c r="A1174" s="906"/>
      <c r="B1174" s="424"/>
      <c r="C1174" s="366"/>
      <c r="D1174" s="1296" t="s">
        <v>281</v>
      </c>
      <c r="E1174" s="1297"/>
      <c r="F1174" s="343">
        <f>F1175</f>
        <v>2165653</v>
      </c>
    </row>
    <row r="1175" spans="1:7" ht="17.100000000000001" customHeight="1">
      <c r="A1175" s="906"/>
      <c r="B1175" s="424"/>
      <c r="C1175" s="366"/>
      <c r="D1175" s="1290" t="s">
        <v>904</v>
      </c>
      <c r="E1175" s="1291"/>
      <c r="F1175" s="347">
        <f>F1176</f>
        <v>2165653</v>
      </c>
    </row>
    <row r="1176" spans="1:7" ht="38.25" customHeight="1">
      <c r="A1176" s="906"/>
      <c r="B1176" s="424"/>
      <c r="C1176" s="425"/>
      <c r="D1176" s="390" t="s">
        <v>350</v>
      </c>
      <c r="E1176" s="346" t="s">
        <v>349</v>
      </c>
      <c r="F1176" s="347">
        <f>2165653</f>
        <v>2165653</v>
      </c>
      <c r="G1176" s="368"/>
    </row>
    <row r="1177" spans="1:7" ht="17.100000000000001" customHeight="1">
      <c r="A1177" s="901"/>
      <c r="B1177" s="1278" t="s">
        <v>541</v>
      </c>
      <c r="C1177" s="1279"/>
      <c r="D1177" s="340"/>
      <c r="E1177" s="341" t="s">
        <v>542</v>
      </c>
      <c r="F1177" s="342">
        <f>F1178</f>
        <v>200000</v>
      </c>
    </row>
    <row r="1178" spans="1:7" ht="17.100000000000001" customHeight="1">
      <c r="A1178" s="901"/>
      <c r="B1178" s="1280"/>
      <c r="C1178" s="1281"/>
      <c r="D1178" s="1284" t="s">
        <v>213</v>
      </c>
      <c r="E1178" s="1285"/>
      <c r="F1178" s="343">
        <f>F1179</f>
        <v>200000</v>
      </c>
    </row>
    <row r="1179" spans="1:7" ht="17.100000000000001" customHeight="1">
      <c r="A1179" s="901"/>
      <c r="B1179" s="1282"/>
      <c r="C1179" s="1283"/>
      <c r="D1179" s="1290" t="s">
        <v>467</v>
      </c>
      <c r="E1179" s="1291"/>
      <c r="F1179" s="347">
        <f>F1180</f>
        <v>200000</v>
      </c>
    </row>
    <row r="1180" spans="1:7" ht="17.100000000000001" customHeight="1">
      <c r="A1180" s="901"/>
      <c r="B1180" s="1282"/>
      <c r="C1180" s="1302"/>
      <c r="D1180" s="407" t="s">
        <v>543</v>
      </c>
      <c r="E1180" s="346" t="s">
        <v>544</v>
      </c>
      <c r="F1180" s="347">
        <f>200000</f>
        <v>200000</v>
      </c>
    </row>
    <row r="1181" spans="1:7" ht="17.100000000000001" customHeight="1">
      <c r="A1181" s="901"/>
      <c r="B1181" s="1278" t="s">
        <v>545</v>
      </c>
      <c r="C1181" s="1279"/>
      <c r="D1181" s="340"/>
      <c r="E1181" s="341" t="s">
        <v>332</v>
      </c>
      <c r="F1181" s="342">
        <f>F1182</f>
        <v>1150000</v>
      </c>
    </row>
    <row r="1182" spans="1:7" ht="17.100000000000001" customHeight="1">
      <c r="A1182" s="901"/>
      <c r="B1182" s="1280"/>
      <c r="C1182" s="1281"/>
      <c r="D1182" s="1284" t="s">
        <v>213</v>
      </c>
      <c r="E1182" s="1285"/>
      <c r="F1182" s="343">
        <f>F1183+F1187</f>
        <v>1150000</v>
      </c>
    </row>
    <row r="1183" spans="1:7" ht="17.100000000000001" customHeight="1">
      <c r="A1183" s="901"/>
      <c r="B1183" s="1282"/>
      <c r="C1183" s="1283"/>
      <c r="D1183" s="1286" t="s">
        <v>214</v>
      </c>
      <c r="E1183" s="1294"/>
      <c r="F1183" s="347">
        <f>F1184</f>
        <v>150000</v>
      </c>
    </row>
    <row r="1184" spans="1:7" ht="17.100000000000001" customHeight="1">
      <c r="A1184" s="901"/>
      <c r="B1184" s="1282"/>
      <c r="C1184" s="1283"/>
      <c r="D1184" s="1292" t="s">
        <v>226</v>
      </c>
      <c r="E1184" s="1293"/>
      <c r="F1184" s="347">
        <f>F1185</f>
        <v>150000</v>
      </c>
    </row>
    <row r="1185" spans="1:6" ht="17.100000000000001" customHeight="1">
      <c r="A1185" s="901"/>
      <c r="B1185" s="1282"/>
      <c r="C1185" s="1283"/>
      <c r="D1185" s="472" t="s">
        <v>237</v>
      </c>
      <c r="E1185" s="346" t="s">
        <v>238</v>
      </c>
      <c r="F1185" s="347">
        <f>150000</f>
        <v>150000</v>
      </c>
    </row>
    <row r="1186" spans="1:6" ht="17.100000000000001" customHeight="1">
      <c r="A1186" s="901"/>
      <c r="B1186" s="889"/>
      <c r="C1186" s="468"/>
      <c r="D1186" s="1267"/>
      <c r="E1186" s="1323"/>
      <c r="F1186" s="1324"/>
    </row>
    <row r="1187" spans="1:6" ht="17.100000000000001" customHeight="1">
      <c r="A1187" s="901"/>
      <c r="B1187" s="889"/>
      <c r="C1187" s="468"/>
      <c r="D1187" s="1290" t="s">
        <v>286</v>
      </c>
      <c r="E1187" s="1365"/>
      <c r="F1187" s="347">
        <f>F1188</f>
        <v>1000000</v>
      </c>
    </row>
    <row r="1188" spans="1:6" ht="30.75" customHeight="1">
      <c r="A1188" s="901"/>
      <c r="B1188" s="889"/>
      <c r="C1188" s="468"/>
      <c r="D1188" s="472" t="s">
        <v>546</v>
      </c>
      <c r="E1188" s="346" t="s">
        <v>906</v>
      </c>
      <c r="F1188" s="347">
        <f>1000000</f>
        <v>1000000</v>
      </c>
    </row>
    <row r="1189" spans="1:6" ht="17.100000000000001" customHeight="1">
      <c r="A1189" s="900" t="s">
        <v>25</v>
      </c>
      <c r="B1189" s="1276"/>
      <c r="C1189" s="1277"/>
      <c r="D1189" s="337"/>
      <c r="E1189" s="338" t="s">
        <v>547</v>
      </c>
      <c r="F1189" s="339">
        <f>F1190+F1198+F1202+F1210+F1218+F1222+F1235+F1239+F1253+F1258+F1230</f>
        <v>30363526</v>
      </c>
    </row>
    <row r="1190" spans="1:6" ht="17.100000000000001" customHeight="1">
      <c r="A1190" s="901"/>
      <c r="B1190" s="1278" t="s">
        <v>548</v>
      </c>
      <c r="C1190" s="1279"/>
      <c r="D1190" s="340"/>
      <c r="E1190" s="341" t="s">
        <v>549</v>
      </c>
      <c r="F1190" s="342">
        <f>F1191+F1195</f>
        <v>15189768</v>
      </c>
    </row>
    <row r="1191" spans="1:6" ht="17.100000000000001" customHeight="1">
      <c r="A1191" s="901"/>
      <c r="B1191" s="1421"/>
      <c r="C1191" s="1422"/>
      <c r="D1191" s="1407" t="s">
        <v>213</v>
      </c>
      <c r="E1191" s="1297"/>
      <c r="F1191" s="426">
        <f>F1192</f>
        <v>144500</v>
      </c>
    </row>
    <row r="1192" spans="1:6" ht="17.100000000000001" customHeight="1">
      <c r="A1192" s="901"/>
      <c r="B1192" s="1423"/>
      <c r="C1192" s="1424"/>
      <c r="D1192" s="1427" t="s">
        <v>38</v>
      </c>
      <c r="E1192" s="1294"/>
      <c r="F1192" s="347">
        <f>F1193</f>
        <v>144500</v>
      </c>
    </row>
    <row r="1193" spans="1:6" ht="25.5">
      <c r="A1193" s="901"/>
      <c r="B1193" s="1423"/>
      <c r="C1193" s="1424"/>
      <c r="D1193" s="407" t="s">
        <v>550</v>
      </c>
      <c r="E1193" s="466" t="s">
        <v>551</v>
      </c>
      <c r="F1193" s="347">
        <f>144500</f>
        <v>144500</v>
      </c>
    </row>
    <row r="1194" spans="1:6" ht="17.100000000000001" customHeight="1">
      <c r="A1194" s="901"/>
      <c r="B1194" s="1423"/>
      <c r="C1194" s="1424"/>
      <c r="D1194" s="1428"/>
      <c r="E1194" s="1424"/>
      <c r="F1194" s="1429"/>
    </row>
    <row r="1195" spans="1:6" ht="17.100000000000001" customHeight="1">
      <c r="A1195" s="901"/>
      <c r="B1195" s="1423"/>
      <c r="C1195" s="1424"/>
      <c r="D1195" s="1357" t="s">
        <v>281</v>
      </c>
      <c r="E1195" s="1430"/>
      <c r="F1195" s="343">
        <f>F1196</f>
        <v>15045268</v>
      </c>
    </row>
    <row r="1196" spans="1:6" ht="17.100000000000001" customHeight="1">
      <c r="A1196" s="901"/>
      <c r="B1196" s="1423"/>
      <c r="C1196" s="1424"/>
      <c r="D1196" s="1290" t="s">
        <v>904</v>
      </c>
      <c r="E1196" s="1291"/>
      <c r="F1196" s="347">
        <f>F1197</f>
        <v>15045268</v>
      </c>
    </row>
    <row r="1197" spans="1:6" ht="37.5" customHeight="1">
      <c r="A1197" s="901"/>
      <c r="B1197" s="1425"/>
      <c r="C1197" s="1426"/>
      <c r="D1197" s="353" t="s">
        <v>552</v>
      </c>
      <c r="E1197" s="346" t="s">
        <v>553</v>
      </c>
      <c r="F1197" s="347">
        <f>15045268</f>
        <v>15045268</v>
      </c>
    </row>
    <row r="1198" spans="1:6" ht="19.5" customHeight="1">
      <c r="A1198" s="901"/>
      <c r="B1198" s="469"/>
      <c r="C1198" s="463" t="s">
        <v>554</v>
      </c>
      <c r="D1198" s="427"/>
      <c r="E1198" s="428" t="s">
        <v>555</v>
      </c>
      <c r="F1198" s="376">
        <f>F1199</f>
        <v>8000000</v>
      </c>
    </row>
    <row r="1199" spans="1:6" ht="17.100000000000001" customHeight="1">
      <c r="A1199" s="901"/>
      <c r="B1199" s="469"/>
      <c r="C1199" s="1281"/>
      <c r="D1199" s="1296" t="s">
        <v>281</v>
      </c>
      <c r="E1199" s="1297"/>
      <c r="F1199" s="343">
        <f>F1200</f>
        <v>8000000</v>
      </c>
    </row>
    <row r="1200" spans="1:6" ht="17.100000000000001" customHeight="1">
      <c r="A1200" s="901"/>
      <c r="B1200" s="469"/>
      <c r="C1200" s="1283"/>
      <c r="D1200" s="1290" t="s">
        <v>556</v>
      </c>
      <c r="E1200" s="1291"/>
      <c r="F1200" s="347">
        <f>F1201</f>
        <v>8000000</v>
      </c>
    </row>
    <row r="1201" spans="1:6" ht="38.25">
      <c r="A1201" s="901"/>
      <c r="B1201" s="469"/>
      <c r="C1201" s="1308"/>
      <c r="D1201" s="472" t="s">
        <v>557</v>
      </c>
      <c r="E1201" s="346" t="s">
        <v>558</v>
      </c>
      <c r="F1201" s="347">
        <f>8000000</f>
        <v>8000000</v>
      </c>
    </row>
    <row r="1202" spans="1:6" ht="17.100000000000001" customHeight="1">
      <c r="A1202" s="901"/>
      <c r="B1202" s="469"/>
      <c r="C1202" s="429" t="s">
        <v>559</v>
      </c>
      <c r="D1202" s="430"/>
      <c r="E1202" s="431" t="s">
        <v>560</v>
      </c>
      <c r="F1202" s="376">
        <f>F1207+F1203</f>
        <v>3644832</v>
      </c>
    </row>
    <row r="1203" spans="1:6" ht="17.100000000000001" customHeight="1">
      <c r="A1203" s="901"/>
      <c r="B1203" s="469"/>
      <c r="C1203" s="1431"/>
      <c r="D1203" s="1432" t="s">
        <v>213</v>
      </c>
      <c r="E1203" s="1365"/>
      <c r="F1203" s="393">
        <f>F1204</f>
        <v>31000</v>
      </c>
    </row>
    <row r="1204" spans="1:6" ht="17.100000000000001" customHeight="1">
      <c r="A1204" s="901"/>
      <c r="B1204" s="469"/>
      <c r="C1204" s="1363"/>
      <c r="D1204" s="1366" t="s">
        <v>38</v>
      </c>
      <c r="E1204" s="1367"/>
      <c r="F1204" s="393">
        <f>F1205</f>
        <v>31000</v>
      </c>
    </row>
    <row r="1205" spans="1:6" ht="30" customHeight="1">
      <c r="A1205" s="901"/>
      <c r="B1205" s="469"/>
      <c r="C1205" s="1363"/>
      <c r="D1205" s="390" t="s">
        <v>550</v>
      </c>
      <c r="E1205" s="432" t="s">
        <v>551</v>
      </c>
      <c r="F1205" s="393">
        <f>31000</f>
        <v>31000</v>
      </c>
    </row>
    <row r="1206" spans="1:6" ht="17.100000000000001" customHeight="1">
      <c r="A1206" s="901"/>
      <c r="B1206" s="469"/>
      <c r="C1206" s="1363"/>
      <c r="D1206" s="1433"/>
      <c r="E1206" s="1323"/>
      <c r="F1206" s="1324"/>
    </row>
    <row r="1207" spans="1:6" ht="17.100000000000001" customHeight="1">
      <c r="A1207" s="901"/>
      <c r="B1207" s="469"/>
      <c r="C1207" s="1363"/>
      <c r="D1207" s="1296" t="s">
        <v>281</v>
      </c>
      <c r="E1207" s="1297"/>
      <c r="F1207" s="343">
        <f>F1208</f>
        <v>3613832</v>
      </c>
    </row>
    <row r="1208" spans="1:6" ht="17.100000000000001" customHeight="1">
      <c r="A1208" s="901"/>
      <c r="B1208" s="469"/>
      <c r="C1208" s="1363"/>
      <c r="D1208" s="1290" t="s">
        <v>904</v>
      </c>
      <c r="E1208" s="1291"/>
      <c r="F1208" s="347">
        <f>F1209</f>
        <v>3613832</v>
      </c>
    </row>
    <row r="1209" spans="1:6" ht="38.25">
      <c r="A1209" s="901"/>
      <c r="B1209" s="469"/>
      <c r="C1209" s="1343"/>
      <c r="D1209" s="472" t="s">
        <v>552</v>
      </c>
      <c r="E1209" s="346" t="s">
        <v>553</v>
      </c>
      <c r="F1209" s="347">
        <f>3613832</f>
        <v>3613832</v>
      </c>
    </row>
    <row r="1210" spans="1:6" ht="17.100000000000001" customHeight="1">
      <c r="A1210" s="901"/>
      <c r="B1210" s="469"/>
      <c r="C1210" s="429" t="s">
        <v>561</v>
      </c>
      <c r="D1210" s="430"/>
      <c r="E1210" s="431" t="s">
        <v>562</v>
      </c>
      <c r="F1210" s="376">
        <f>F1211+F1215</f>
        <v>556676</v>
      </c>
    </row>
    <row r="1211" spans="1:6" ht="17.100000000000001" hidden="1" customHeight="1">
      <c r="A1211" s="901"/>
      <c r="B1211" s="469"/>
      <c r="C1211" s="1301"/>
      <c r="D1211" s="1407" t="s">
        <v>213</v>
      </c>
      <c r="E1211" s="1297"/>
      <c r="F1211" s="426">
        <f>F1212</f>
        <v>0</v>
      </c>
    </row>
    <row r="1212" spans="1:6" ht="17.100000000000001" hidden="1" customHeight="1">
      <c r="A1212" s="901"/>
      <c r="B1212" s="469"/>
      <c r="C1212" s="1302"/>
      <c r="D1212" s="1427" t="s">
        <v>38</v>
      </c>
      <c r="E1212" s="1294"/>
      <c r="F1212" s="347">
        <f>F1213</f>
        <v>0</v>
      </c>
    </row>
    <row r="1213" spans="1:6" ht="25.5" hidden="1">
      <c r="A1213" s="901"/>
      <c r="B1213" s="469"/>
      <c r="C1213" s="1302"/>
      <c r="D1213" s="407" t="s">
        <v>550</v>
      </c>
      <c r="E1213" s="466" t="s">
        <v>551</v>
      </c>
      <c r="F1213" s="347"/>
    </row>
    <row r="1214" spans="1:6" hidden="1">
      <c r="A1214" s="901"/>
      <c r="B1214" s="469"/>
      <c r="C1214" s="1302"/>
      <c r="D1214" s="1428"/>
      <c r="E1214" s="1424"/>
      <c r="F1214" s="1429"/>
    </row>
    <row r="1215" spans="1:6" ht="17.100000000000001" customHeight="1">
      <c r="A1215" s="901"/>
      <c r="B1215" s="469"/>
      <c r="C1215" s="1302"/>
      <c r="D1215" s="1357" t="s">
        <v>281</v>
      </c>
      <c r="E1215" s="1430"/>
      <c r="F1215" s="343">
        <f>F1216</f>
        <v>556676</v>
      </c>
    </row>
    <row r="1216" spans="1:6" ht="17.100000000000001" customHeight="1">
      <c r="A1216" s="901"/>
      <c r="B1216" s="469"/>
      <c r="C1216" s="1302"/>
      <c r="D1216" s="1290" t="s">
        <v>904</v>
      </c>
      <c r="E1216" s="1291"/>
      <c r="F1216" s="347">
        <f>F1217</f>
        <v>556676</v>
      </c>
    </row>
    <row r="1217" spans="1:6" ht="38.25">
      <c r="A1217" s="901"/>
      <c r="B1217" s="469"/>
      <c r="C1217" s="1304"/>
      <c r="D1217" s="353" t="s">
        <v>552</v>
      </c>
      <c r="E1217" s="346" t="s">
        <v>553</v>
      </c>
      <c r="F1217" s="347">
        <f>556676</f>
        <v>556676</v>
      </c>
    </row>
    <row r="1218" spans="1:6" ht="17.100000000000001" hidden="1" customHeight="1">
      <c r="A1218" s="901"/>
      <c r="B1218" s="1278" t="s">
        <v>563</v>
      </c>
      <c r="C1218" s="1279"/>
      <c r="D1218" s="340"/>
      <c r="E1218" s="341" t="s">
        <v>564</v>
      </c>
      <c r="F1218" s="342">
        <f>F1219</f>
        <v>0</v>
      </c>
    </row>
    <row r="1219" spans="1:6" ht="17.100000000000001" hidden="1" customHeight="1">
      <c r="A1219" s="901"/>
      <c r="B1219" s="1280"/>
      <c r="C1219" s="1281"/>
      <c r="D1219" s="1296" t="s">
        <v>281</v>
      </c>
      <c r="E1219" s="1297"/>
      <c r="F1219" s="343">
        <f>F1220</f>
        <v>0</v>
      </c>
    </row>
    <row r="1220" spans="1:6" ht="17.100000000000001" hidden="1" customHeight="1">
      <c r="A1220" s="901"/>
      <c r="B1220" s="1282"/>
      <c r="C1220" s="1283"/>
      <c r="D1220" s="1290" t="s">
        <v>267</v>
      </c>
      <c r="E1220" s="1291"/>
      <c r="F1220" s="347">
        <f>F1221</f>
        <v>0</v>
      </c>
    </row>
    <row r="1221" spans="1:6" ht="39" hidden="1" customHeight="1">
      <c r="A1221" s="901"/>
      <c r="B1221" s="1303"/>
      <c r="C1221" s="1308"/>
      <c r="D1221" s="472" t="s">
        <v>552</v>
      </c>
      <c r="E1221" s="346" t="s">
        <v>553</v>
      </c>
      <c r="F1221" s="347"/>
    </row>
    <row r="1222" spans="1:6" ht="17.100000000000001" customHeight="1">
      <c r="A1222" s="901"/>
      <c r="B1222" s="1278" t="s">
        <v>565</v>
      </c>
      <c r="C1222" s="1279"/>
      <c r="D1222" s="340"/>
      <c r="E1222" s="341" t="s">
        <v>566</v>
      </c>
      <c r="F1222" s="342">
        <f>F1223</f>
        <v>2359950</v>
      </c>
    </row>
    <row r="1223" spans="1:6" ht="17.100000000000001" customHeight="1">
      <c r="A1223" s="901"/>
      <c r="B1223" s="883"/>
      <c r="C1223" s="462"/>
      <c r="D1223" s="1296" t="s">
        <v>213</v>
      </c>
      <c r="E1223" s="1297"/>
      <c r="F1223" s="343">
        <f>F1224+F1228</f>
        <v>2359950</v>
      </c>
    </row>
    <row r="1224" spans="1:6" ht="17.100000000000001" customHeight="1">
      <c r="A1224" s="901"/>
      <c r="B1224" s="883"/>
      <c r="C1224" s="462"/>
      <c r="D1224" s="1286" t="s">
        <v>214</v>
      </c>
      <c r="E1224" s="1294"/>
      <c r="F1224" s="347">
        <f>F1225</f>
        <v>1295000</v>
      </c>
    </row>
    <row r="1225" spans="1:6" ht="17.100000000000001" customHeight="1">
      <c r="A1225" s="901"/>
      <c r="B1225" s="1267"/>
      <c r="C1225" s="1268"/>
      <c r="D1225" s="1292" t="s">
        <v>226</v>
      </c>
      <c r="E1225" s="1293"/>
      <c r="F1225" s="347">
        <f>F1226</f>
        <v>1295000</v>
      </c>
    </row>
    <row r="1226" spans="1:6" ht="17.100000000000001" customHeight="1">
      <c r="A1226" s="901"/>
      <c r="B1226" s="1267"/>
      <c r="C1226" s="1268"/>
      <c r="D1226" s="472" t="s">
        <v>235</v>
      </c>
      <c r="E1226" s="346" t="s">
        <v>236</v>
      </c>
      <c r="F1226" s="347">
        <f>1295000</f>
        <v>1295000</v>
      </c>
    </row>
    <row r="1227" spans="1:6" ht="17.100000000000001" customHeight="1">
      <c r="A1227" s="901"/>
      <c r="B1227" s="1267"/>
      <c r="C1227" s="1268"/>
      <c r="D1227" s="1267"/>
      <c r="E1227" s="1269"/>
      <c r="F1227" s="1270"/>
    </row>
    <row r="1228" spans="1:6" ht="17.100000000000001" customHeight="1">
      <c r="A1228" s="901"/>
      <c r="B1228" s="1267"/>
      <c r="C1228" s="1268"/>
      <c r="D1228" s="1290" t="s">
        <v>286</v>
      </c>
      <c r="E1228" s="1291"/>
      <c r="F1228" s="347">
        <f>F1229</f>
        <v>1064950</v>
      </c>
    </row>
    <row r="1229" spans="1:6" ht="36" customHeight="1">
      <c r="A1229" s="901"/>
      <c r="B1229" s="1267"/>
      <c r="C1229" s="1268"/>
      <c r="D1229" s="472" t="s">
        <v>550</v>
      </c>
      <c r="E1229" s="346" t="s">
        <v>551</v>
      </c>
      <c r="F1229" s="347">
        <f>1064950</f>
        <v>1064950</v>
      </c>
    </row>
    <row r="1230" spans="1:6" ht="19.5" customHeight="1">
      <c r="A1230" s="901"/>
      <c r="B1230" s="883"/>
      <c r="C1230" s="433" t="s">
        <v>567</v>
      </c>
      <c r="D1230" s="434"/>
      <c r="E1230" s="435" t="s">
        <v>568</v>
      </c>
      <c r="F1230" s="436">
        <f>F1231</f>
        <v>70000</v>
      </c>
    </row>
    <row r="1231" spans="1:6" ht="19.5" customHeight="1">
      <c r="A1231" s="901"/>
      <c r="B1231" s="883"/>
      <c r="C1231" s="465"/>
      <c r="D1231" s="1432" t="s">
        <v>213</v>
      </c>
      <c r="E1231" s="1332"/>
      <c r="F1231" s="437">
        <f>F1232</f>
        <v>70000</v>
      </c>
    </row>
    <row r="1232" spans="1:6" ht="19.5" customHeight="1">
      <c r="A1232" s="901"/>
      <c r="B1232" s="883"/>
      <c r="C1232" s="465"/>
      <c r="D1232" s="1366" t="s">
        <v>214</v>
      </c>
      <c r="E1232" s="1365"/>
      <c r="F1232" s="393">
        <f>F1233</f>
        <v>70000</v>
      </c>
    </row>
    <row r="1233" spans="1:6" ht="19.5" customHeight="1">
      <c r="A1233" s="901"/>
      <c r="B1233" s="883"/>
      <c r="C1233" s="465"/>
      <c r="D1233" s="1434" t="s">
        <v>226</v>
      </c>
      <c r="E1233" s="1435"/>
      <c r="F1233" s="393">
        <f>F1234</f>
        <v>70000</v>
      </c>
    </row>
    <row r="1234" spans="1:6" ht="19.5" customHeight="1">
      <c r="A1234" s="901"/>
      <c r="B1234" s="883"/>
      <c r="C1234" s="465"/>
      <c r="D1234" s="390" t="s">
        <v>237</v>
      </c>
      <c r="E1234" s="391" t="s">
        <v>238</v>
      </c>
      <c r="F1234" s="393">
        <f>70000</f>
        <v>70000</v>
      </c>
    </row>
    <row r="1235" spans="1:6" ht="17.100000000000001" customHeight="1">
      <c r="A1235" s="901"/>
      <c r="B1235" s="1278" t="s">
        <v>29</v>
      </c>
      <c r="C1235" s="1279"/>
      <c r="D1235" s="340"/>
      <c r="E1235" s="341" t="s">
        <v>569</v>
      </c>
      <c r="F1235" s="342">
        <f>F1236</f>
        <v>70650</v>
      </c>
    </row>
    <row r="1236" spans="1:6" ht="17.100000000000001" customHeight="1">
      <c r="A1236" s="901"/>
      <c r="B1236" s="1280"/>
      <c r="C1236" s="1281"/>
      <c r="D1236" s="1296" t="s">
        <v>213</v>
      </c>
      <c r="E1236" s="1297"/>
      <c r="F1236" s="343">
        <f>F1237</f>
        <v>70650</v>
      </c>
    </row>
    <row r="1237" spans="1:6" ht="17.100000000000001" customHeight="1">
      <c r="A1237" s="901"/>
      <c r="B1237" s="1282"/>
      <c r="C1237" s="1283"/>
      <c r="D1237" s="1290" t="s">
        <v>286</v>
      </c>
      <c r="E1237" s="1291"/>
      <c r="F1237" s="347">
        <f>F1238</f>
        <v>70650</v>
      </c>
    </row>
    <row r="1238" spans="1:6" ht="50.25" customHeight="1">
      <c r="A1238" s="901"/>
      <c r="B1238" s="1303"/>
      <c r="C1238" s="1308"/>
      <c r="D1238" s="472" t="s">
        <v>337</v>
      </c>
      <c r="E1238" s="346" t="s">
        <v>338</v>
      </c>
      <c r="F1238" s="347">
        <f>70650</f>
        <v>70650</v>
      </c>
    </row>
    <row r="1239" spans="1:6" ht="17.100000000000001" customHeight="1">
      <c r="A1239" s="901"/>
      <c r="B1239" s="1278" t="s">
        <v>30</v>
      </c>
      <c r="C1239" s="1279"/>
      <c r="D1239" s="340"/>
      <c r="E1239" s="341" t="s">
        <v>570</v>
      </c>
      <c r="F1239" s="342">
        <f>F1240+F1250</f>
        <v>380650</v>
      </c>
    </row>
    <row r="1240" spans="1:6" ht="17.100000000000001" customHeight="1">
      <c r="A1240" s="901"/>
      <c r="B1240" s="883"/>
      <c r="C1240" s="462"/>
      <c r="D1240" s="1284" t="s">
        <v>213</v>
      </c>
      <c r="E1240" s="1285"/>
      <c r="F1240" s="343">
        <f>F1241+F1246</f>
        <v>380650</v>
      </c>
    </row>
    <row r="1241" spans="1:6" ht="17.100000000000001" customHeight="1">
      <c r="A1241" s="901"/>
      <c r="B1241" s="883"/>
      <c r="C1241" s="462"/>
      <c r="D1241" s="1286" t="s">
        <v>214</v>
      </c>
      <c r="E1241" s="1294"/>
      <c r="F1241" s="347">
        <f>F1242</f>
        <v>25650</v>
      </c>
    </row>
    <row r="1242" spans="1:6" ht="17.100000000000001" customHeight="1">
      <c r="A1242" s="901"/>
      <c r="B1242" s="883"/>
      <c r="C1242" s="462"/>
      <c r="D1242" s="1292" t="s">
        <v>226</v>
      </c>
      <c r="E1242" s="1293"/>
      <c r="F1242" s="347">
        <f>SUM(F1243:F1244)</f>
        <v>25650</v>
      </c>
    </row>
    <row r="1243" spans="1:6" ht="17.100000000000001" customHeight="1">
      <c r="A1243" s="901"/>
      <c r="B1243" s="1267"/>
      <c r="C1243" s="1268"/>
      <c r="D1243" s="472" t="s">
        <v>229</v>
      </c>
      <c r="E1243" s="346" t="s">
        <v>230</v>
      </c>
      <c r="F1243" s="347">
        <f>22000</f>
        <v>22000</v>
      </c>
    </row>
    <row r="1244" spans="1:6" ht="17.100000000000001" customHeight="1">
      <c r="A1244" s="901"/>
      <c r="B1244" s="1267"/>
      <c r="C1244" s="1268"/>
      <c r="D1244" s="472" t="s">
        <v>237</v>
      </c>
      <c r="E1244" s="346" t="s">
        <v>238</v>
      </c>
      <c r="F1244" s="347">
        <f>3650</f>
        <v>3650</v>
      </c>
    </row>
    <row r="1245" spans="1:6" ht="17.100000000000001" customHeight="1">
      <c r="A1245" s="901"/>
      <c r="B1245" s="883"/>
      <c r="C1245" s="462"/>
      <c r="D1245" s="1267"/>
      <c r="E1245" s="1269"/>
      <c r="F1245" s="1270"/>
    </row>
    <row r="1246" spans="1:6" ht="17.100000000000001" customHeight="1">
      <c r="A1246" s="901"/>
      <c r="B1246" s="883"/>
      <c r="C1246" s="462"/>
      <c r="D1246" s="1290" t="s">
        <v>286</v>
      </c>
      <c r="E1246" s="1291"/>
      <c r="F1246" s="347">
        <f>SUM(F1247:F1248)</f>
        <v>355000</v>
      </c>
    </row>
    <row r="1247" spans="1:6" ht="39" customHeight="1">
      <c r="A1247" s="901"/>
      <c r="B1247" s="883"/>
      <c r="C1247" s="462"/>
      <c r="D1247" s="472" t="s">
        <v>337</v>
      </c>
      <c r="E1247" s="346" t="s">
        <v>338</v>
      </c>
      <c r="F1247" s="347">
        <f>355000</f>
        <v>355000</v>
      </c>
    </row>
    <row r="1248" spans="1:6" ht="39" hidden="1" customHeight="1">
      <c r="A1248" s="901"/>
      <c r="B1248" s="883"/>
      <c r="C1248" s="462"/>
      <c r="D1248" s="472" t="s">
        <v>550</v>
      </c>
      <c r="E1248" s="346" t="s">
        <v>551</v>
      </c>
      <c r="F1248" s="347"/>
    </row>
    <row r="1249" spans="1:6" ht="17.100000000000001" hidden="1" customHeight="1">
      <c r="A1249" s="901"/>
      <c r="B1249" s="883"/>
      <c r="C1249" s="462"/>
      <c r="D1249" s="1267"/>
      <c r="E1249" s="1269"/>
      <c r="F1249" s="1270"/>
    </row>
    <row r="1250" spans="1:6" ht="17.100000000000001" hidden="1" customHeight="1">
      <c r="A1250" s="901"/>
      <c r="B1250" s="883"/>
      <c r="C1250" s="462"/>
      <c r="D1250" s="1296" t="s">
        <v>281</v>
      </c>
      <c r="E1250" s="1297"/>
      <c r="F1250" s="343">
        <f>F1251</f>
        <v>0</v>
      </c>
    </row>
    <row r="1251" spans="1:6" ht="17.100000000000001" hidden="1" customHeight="1">
      <c r="A1251" s="901"/>
      <c r="B1251" s="883"/>
      <c r="C1251" s="462"/>
      <c r="D1251" s="1290" t="s">
        <v>267</v>
      </c>
      <c r="E1251" s="1291"/>
      <c r="F1251" s="347">
        <f>F1252</f>
        <v>0</v>
      </c>
    </row>
    <row r="1252" spans="1:6" ht="39" hidden="1" customHeight="1">
      <c r="A1252" s="901"/>
      <c r="B1252" s="883"/>
      <c r="C1252" s="462"/>
      <c r="D1252" s="472" t="s">
        <v>552</v>
      </c>
      <c r="E1252" s="346" t="s">
        <v>553</v>
      </c>
      <c r="F1252" s="347"/>
    </row>
    <row r="1253" spans="1:6" ht="27.75" customHeight="1">
      <c r="A1253" s="901"/>
      <c r="B1253" s="1278" t="s">
        <v>571</v>
      </c>
      <c r="C1253" s="1279"/>
      <c r="D1253" s="340"/>
      <c r="E1253" s="341" t="s">
        <v>820</v>
      </c>
      <c r="F1253" s="342">
        <f>F1254</f>
        <v>40000</v>
      </c>
    </row>
    <row r="1254" spans="1:6" ht="17.100000000000001" customHeight="1">
      <c r="A1254" s="901"/>
      <c r="B1254" s="1280"/>
      <c r="C1254" s="1281"/>
      <c r="D1254" s="1284" t="s">
        <v>213</v>
      </c>
      <c r="E1254" s="1285"/>
      <c r="F1254" s="343">
        <f>F1255</f>
        <v>40000</v>
      </c>
    </row>
    <row r="1255" spans="1:6" ht="17.100000000000001" customHeight="1">
      <c r="A1255" s="901"/>
      <c r="B1255" s="1282"/>
      <c r="C1255" s="1283"/>
      <c r="D1255" s="1286" t="s">
        <v>214</v>
      </c>
      <c r="E1255" s="1294"/>
      <c r="F1255" s="347">
        <f>F1256</f>
        <v>40000</v>
      </c>
    </row>
    <row r="1256" spans="1:6" ht="17.100000000000001" customHeight="1">
      <c r="A1256" s="901"/>
      <c r="B1256" s="1282"/>
      <c r="C1256" s="1283"/>
      <c r="D1256" s="1292" t="s">
        <v>226</v>
      </c>
      <c r="E1256" s="1293"/>
      <c r="F1256" s="347">
        <f>F1257</f>
        <v>40000</v>
      </c>
    </row>
    <row r="1257" spans="1:6" ht="17.100000000000001" customHeight="1">
      <c r="A1257" s="901"/>
      <c r="B1257" s="1303"/>
      <c r="C1257" s="1308"/>
      <c r="D1257" s="472" t="s">
        <v>572</v>
      </c>
      <c r="E1257" s="346" t="s">
        <v>573</v>
      </c>
      <c r="F1257" s="347">
        <f>40000</f>
        <v>40000</v>
      </c>
    </row>
    <row r="1258" spans="1:6" ht="17.100000000000001" customHeight="1">
      <c r="A1258" s="901"/>
      <c r="B1258" s="1278" t="s">
        <v>574</v>
      </c>
      <c r="C1258" s="1279"/>
      <c r="D1258" s="340"/>
      <c r="E1258" s="341" t="s">
        <v>332</v>
      </c>
      <c r="F1258" s="342">
        <f>F1259</f>
        <v>51000</v>
      </c>
    </row>
    <row r="1259" spans="1:6" ht="17.100000000000001" customHeight="1">
      <c r="A1259" s="901"/>
      <c r="B1259" s="888"/>
      <c r="C1259" s="468"/>
      <c r="D1259" s="1284" t="s">
        <v>213</v>
      </c>
      <c r="E1259" s="1285"/>
      <c r="F1259" s="343">
        <f>F1260</f>
        <v>51000</v>
      </c>
    </row>
    <row r="1260" spans="1:6" ht="17.100000000000001" customHeight="1">
      <c r="A1260" s="901"/>
      <c r="B1260" s="888"/>
      <c r="C1260" s="468"/>
      <c r="D1260" s="1286" t="s">
        <v>214</v>
      </c>
      <c r="E1260" s="1294"/>
      <c r="F1260" s="347">
        <f>F1261+F1264</f>
        <v>51000</v>
      </c>
    </row>
    <row r="1261" spans="1:6" ht="17.100000000000001" customHeight="1">
      <c r="A1261" s="901"/>
      <c r="B1261" s="888"/>
      <c r="C1261" s="468"/>
      <c r="D1261" s="1288" t="s">
        <v>215</v>
      </c>
      <c r="E1261" s="1295"/>
      <c r="F1261" s="347">
        <f>F1262</f>
        <v>39500</v>
      </c>
    </row>
    <row r="1262" spans="1:6" ht="17.100000000000001" customHeight="1">
      <c r="A1262" s="901"/>
      <c r="B1262" s="883"/>
      <c r="C1262" s="462"/>
      <c r="D1262" s="472" t="s">
        <v>224</v>
      </c>
      <c r="E1262" s="346" t="s">
        <v>225</v>
      </c>
      <c r="F1262" s="347">
        <f>39500</f>
        <v>39500</v>
      </c>
    </row>
    <row r="1263" spans="1:6" ht="17.100000000000001" customHeight="1">
      <c r="A1263" s="901"/>
      <c r="B1263" s="883"/>
      <c r="C1263" s="462"/>
      <c r="D1263" s="1267"/>
      <c r="E1263" s="1269"/>
      <c r="F1263" s="1270"/>
    </row>
    <row r="1264" spans="1:6" ht="17.100000000000001" customHeight="1">
      <c r="A1264" s="901"/>
      <c r="B1264" s="883"/>
      <c r="C1264" s="462"/>
      <c r="D1264" s="1292" t="s">
        <v>226</v>
      </c>
      <c r="E1264" s="1293"/>
      <c r="F1264" s="347">
        <f>F1265</f>
        <v>11500</v>
      </c>
    </row>
    <row r="1265" spans="1:6" ht="17.100000000000001" customHeight="1">
      <c r="A1265" s="901"/>
      <c r="B1265" s="1299"/>
      <c r="C1265" s="1300"/>
      <c r="D1265" s="472" t="s">
        <v>237</v>
      </c>
      <c r="E1265" s="346" t="s">
        <v>238</v>
      </c>
      <c r="F1265" s="347">
        <f>11500</f>
        <v>11500</v>
      </c>
    </row>
    <row r="1266" spans="1:6" ht="17.100000000000001" customHeight="1">
      <c r="A1266" s="900" t="s">
        <v>26</v>
      </c>
      <c r="B1266" s="1276"/>
      <c r="C1266" s="1277"/>
      <c r="D1266" s="337"/>
      <c r="E1266" s="338" t="s">
        <v>575</v>
      </c>
      <c r="F1266" s="339">
        <f>F1267+F1275+F1308+F1348+F1352+F1356+F1386+F1271</f>
        <v>13179552</v>
      </c>
    </row>
    <row r="1267" spans="1:6" ht="17.100000000000001" customHeight="1">
      <c r="A1267" s="905"/>
      <c r="B1267" s="411"/>
      <c r="C1267" s="412" t="s">
        <v>37</v>
      </c>
      <c r="D1267" s="413"/>
      <c r="E1267" s="414" t="s">
        <v>576</v>
      </c>
      <c r="F1267" s="376">
        <f>F1268</f>
        <v>200000</v>
      </c>
    </row>
    <row r="1268" spans="1:6" ht="17.100000000000001" customHeight="1">
      <c r="A1268" s="905"/>
      <c r="B1268" s="411"/>
      <c r="C1268" s="1437"/>
      <c r="D1268" s="1284" t="s">
        <v>213</v>
      </c>
      <c r="E1268" s="1285"/>
      <c r="F1268" s="343">
        <f>F1269</f>
        <v>200000</v>
      </c>
    </row>
    <row r="1269" spans="1:6" ht="17.100000000000001" customHeight="1">
      <c r="A1269" s="905"/>
      <c r="B1269" s="411"/>
      <c r="C1269" s="1438"/>
      <c r="D1269" s="1286" t="s">
        <v>286</v>
      </c>
      <c r="E1269" s="1294"/>
      <c r="F1269" s="347">
        <f>SUM(F1270:F1270)</f>
        <v>200000</v>
      </c>
    </row>
    <row r="1270" spans="1:6" ht="38.25">
      <c r="A1270" s="905"/>
      <c r="B1270" s="411"/>
      <c r="C1270" s="1438"/>
      <c r="D1270" s="438" t="s">
        <v>337</v>
      </c>
      <c r="E1270" s="439" t="s">
        <v>577</v>
      </c>
      <c r="F1270" s="347">
        <f>200000</f>
        <v>200000</v>
      </c>
    </row>
    <row r="1271" spans="1:6" ht="16.5" customHeight="1">
      <c r="A1271" s="905"/>
      <c r="B1271" s="411"/>
      <c r="C1271" s="440" t="s">
        <v>196</v>
      </c>
      <c r="D1271" s="383"/>
      <c r="E1271" s="441" t="s">
        <v>578</v>
      </c>
      <c r="F1271" s="385">
        <f>F1272</f>
        <v>100000</v>
      </c>
    </row>
    <row r="1272" spans="1:6" ht="15">
      <c r="A1272" s="905"/>
      <c r="B1272" s="411"/>
      <c r="C1272" s="1439"/>
      <c r="D1272" s="1357" t="s">
        <v>213</v>
      </c>
      <c r="E1272" s="1358"/>
      <c r="F1272" s="347">
        <f>F1273</f>
        <v>100000</v>
      </c>
    </row>
    <row r="1273" spans="1:6" ht="15">
      <c r="A1273" s="905"/>
      <c r="B1273" s="411"/>
      <c r="C1273" s="1440"/>
      <c r="D1273" s="1442" t="s">
        <v>286</v>
      </c>
      <c r="E1273" s="1443"/>
      <c r="F1273" s="347">
        <f>F1274</f>
        <v>100000</v>
      </c>
    </row>
    <row r="1274" spans="1:6" ht="48.75" customHeight="1">
      <c r="A1274" s="905"/>
      <c r="B1274" s="411"/>
      <c r="C1274" s="1441"/>
      <c r="D1274" s="351" t="s">
        <v>337</v>
      </c>
      <c r="E1274" s="476" t="s">
        <v>577</v>
      </c>
      <c r="F1274" s="347">
        <f>100000</f>
        <v>100000</v>
      </c>
    </row>
    <row r="1275" spans="1:6" ht="30.2" customHeight="1">
      <c r="A1275" s="901"/>
      <c r="B1275" s="1278" t="s">
        <v>579</v>
      </c>
      <c r="C1275" s="1436"/>
      <c r="D1275" s="419"/>
      <c r="E1275" s="420" t="s">
        <v>580</v>
      </c>
      <c r="F1275" s="421">
        <f>F1276</f>
        <v>1639308</v>
      </c>
    </row>
    <row r="1276" spans="1:6" ht="17.100000000000001" customHeight="1">
      <c r="A1276" s="901"/>
      <c r="B1276" s="883"/>
      <c r="C1276" s="462"/>
      <c r="D1276" s="1284" t="s">
        <v>213</v>
      </c>
      <c r="E1276" s="1285"/>
      <c r="F1276" s="343">
        <f>F1277+F1303+F1306</f>
        <v>1639308</v>
      </c>
    </row>
    <row r="1277" spans="1:6" ht="17.100000000000001" customHeight="1">
      <c r="A1277" s="901"/>
      <c r="B1277" s="883"/>
      <c r="C1277" s="462"/>
      <c r="D1277" s="1286" t="s">
        <v>214</v>
      </c>
      <c r="E1277" s="1294"/>
      <c r="F1277" s="347">
        <f>F1278+F1285</f>
        <v>1635850</v>
      </c>
    </row>
    <row r="1278" spans="1:6" ht="17.100000000000001" customHeight="1">
      <c r="A1278" s="901"/>
      <c r="B1278" s="883"/>
      <c r="C1278" s="462"/>
      <c r="D1278" s="1288" t="s">
        <v>215</v>
      </c>
      <c r="E1278" s="1295"/>
      <c r="F1278" s="347">
        <f>SUM(F1279:F1283)</f>
        <v>1051030</v>
      </c>
    </row>
    <row r="1279" spans="1:6" ht="17.100000000000001" customHeight="1">
      <c r="A1279" s="901"/>
      <c r="B1279" s="1267"/>
      <c r="C1279" s="1268"/>
      <c r="D1279" s="472" t="s">
        <v>216</v>
      </c>
      <c r="E1279" s="346" t="s">
        <v>217</v>
      </c>
      <c r="F1279" s="347">
        <f>734414</f>
        <v>734414</v>
      </c>
    </row>
    <row r="1280" spans="1:6" ht="17.100000000000001" customHeight="1">
      <c r="A1280" s="901"/>
      <c r="B1280" s="1267"/>
      <c r="C1280" s="1268"/>
      <c r="D1280" s="472" t="s">
        <v>218</v>
      </c>
      <c r="E1280" s="346" t="s">
        <v>219</v>
      </c>
      <c r="F1280" s="347">
        <f>107154</f>
        <v>107154</v>
      </c>
    </row>
    <row r="1281" spans="1:6" ht="17.100000000000001" customHeight="1">
      <c r="A1281" s="901"/>
      <c r="B1281" s="1267"/>
      <c r="C1281" s="1268"/>
      <c r="D1281" s="472" t="s">
        <v>220</v>
      </c>
      <c r="E1281" s="346" t="s">
        <v>221</v>
      </c>
      <c r="F1281" s="347">
        <f>151063</f>
        <v>151063</v>
      </c>
    </row>
    <row r="1282" spans="1:6" ht="17.100000000000001" customHeight="1">
      <c r="A1282" s="901"/>
      <c r="B1282" s="1267"/>
      <c r="C1282" s="1268"/>
      <c r="D1282" s="353" t="s">
        <v>222</v>
      </c>
      <c r="E1282" s="354" t="s">
        <v>223</v>
      </c>
      <c r="F1282" s="355">
        <f>21199</f>
        <v>21199</v>
      </c>
    </row>
    <row r="1283" spans="1:6" ht="17.100000000000001" customHeight="1">
      <c r="A1283" s="901"/>
      <c r="B1283" s="883"/>
      <c r="C1283" s="462"/>
      <c r="D1283" s="472" t="s">
        <v>224</v>
      </c>
      <c r="E1283" s="346" t="s">
        <v>225</v>
      </c>
      <c r="F1283" s="395">
        <f>37200</f>
        <v>37200</v>
      </c>
    </row>
    <row r="1284" spans="1:6" ht="17.100000000000001" customHeight="1">
      <c r="A1284" s="901"/>
      <c r="B1284" s="883"/>
      <c r="C1284" s="462"/>
      <c r="D1284" s="1267"/>
      <c r="E1284" s="1269"/>
      <c r="F1284" s="1270"/>
    </row>
    <row r="1285" spans="1:6" ht="17.100000000000001" customHeight="1">
      <c r="A1285" s="901"/>
      <c r="B1285" s="883"/>
      <c r="C1285" s="462"/>
      <c r="D1285" s="1292" t="s">
        <v>226</v>
      </c>
      <c r="E1285" s="1293"/>
      <c r="F1285" s="347">
        <f>SUM(F1286:F1301)</f>
        <v>584820</v>
      </c>
    </row>
    <row r="1286" spans="1:6" ht="17.100000000000001" customHeight="1">
      <c r="A1286" s="901"/>
      <c r="B1286" s="883"/>
      <c r="C1286" s="462"/>
      <c r="D1286" s="472" t="s">
        <v>227</v>
      </c>
      <c r="E1286" s="346" t="s">
        <v>228</v>
      </c>
      <c r="F1286" s="347">
        <f>9500</f>
        <v>9500</v>
      </c>
    </row>
    <row r="1287" spans="1:6" ht="17.100000000000001" customHeight="1">
      <c r="A1287" s="901"/>
      <c r="B1287" s="1267"/>
      <c r="C1287" s="1268"/>
      <c r="D1287" s="472" t="s">
        <v>229</v>
      </c>
      <c r="E1287" s="346" t="s">
        <v>230</v>
      </c>
      <c r="F1287" s="347">
        <f>17600</f>
        <v>17600</v>
      </c>
    </row>
    <row r="1288" spans="1:6" ht="17.100000000000001" customHeight="1">
      <c r="A1288" s="901"/>
      <c r="B1288" s="1267"/>
      <c r="C1288" s="1268"/>
      <c r="D1288" s="472" t="s">
        <v>231</v>
      </c>
      <c r="E1288" s="346" t="s">
        <v>232</v>
      </c>
      <c r="F1288" s="347">
        <f>10679</f>
        <v>10679</v>
      </c>
    </row>
    <row r="1289" spans="1:6" ht="17.100000000000001" customHeight="1">
      <c r="A1289" s="901"/>
      <c r="B1289" s="1267"/>
      <c r="C1289" s="1268"/>
      <c r="D1289" s="472" t="s">
        <v>233</v>
      </c>
      <c r="E1289" s="346" t="s">
        <v>234</v>
      </c>
      <c r="F1289" s="347">
        <f>3600</f>
        <v>3600</v>
      </c>
    </row>
    <row r="1290" spans="1:6" ht="17.100000000000001" customHeight="1">
      <c r="A1290" s="901"/>
      <c r="B1290" s="1267"/>
      <c r="C1290" s="1268"/>
      <c r="D1290" s="472" t="s">
        <v>235</v>
      </c>
      <c r="E1290" s="346" t="s">
        <v>236</v>
      </c>
      <c r="F1290" s="347">
        <f>3000</f>
        <v>3000</v>
      </c>
    </row>
    <row r="1291" spans="1:6" ht="17.100000000000001" customHeight="1">
      <c r="A1291" s="901"/>
      <c r="B1291" s="1267"/>
      <c r="C1291" s="1268"/>
      <c r="D1291" s="472" t="s">
        <v>237</v>
      </c>
      <c r="E1291" s="346" t="s">
        <v>238</v>
      </c>
      <c r="F1291" s="347">
        <f>456581</f>
        <v>456581</v>
      </c>
    </row>
    <row r="1292" spans="1:6" ht="17.100000000000001" customHeight="1">
      <c r="A1292" s="901"/>
      <c r="B1292" s="1267"/>
      <c r="C1292" s="1268"/>
      <c r="D1292" s="472" t="s">
        <v>239</v>
      </c>
      <c r="E1292" s="346" t="s">
        <v>240</v>
      </c>
      <c r="F1292" s="347">
        <f>5000</f>
        <v>5000</v>
      </c>
    </row>
    <row r="1293" spans="1:6" ht="25.5" customHeight="1">
      <c r="A1293" s="901"/>
      <c r="B1293" s="1267"/>
      <c r="C1293" s="1268"/>
      <c r="D1293" s="472" t="s">
        <v>243</v>
      </c>
      <c r="E1293" s="346" t="s">
        <v>244</v>
      </c>
      <c r="F1293" s="347">
        <f>6000</f>
        <v>6000</v>
      </c>
    </row>
    <row r="1294" spans="1:6" ht="17.100000000000001" customHeight="1">
      <c r="A1294" s="901"/>
      <c r="B1294" s="1267"/>
      <c r="C1294" s="1268"/>
      <c r="D1294" s="472" t="s">
        <v>441</v>
      </c>
      <c r="E1294" s="346" t="s">
        <v>442</v>
      </c>
      <c r="F1294" s="347">
        <f>10000</f>
        <v>10000</v>
      </c>
    </row>
    <row r="1295" spans="1:6" ht="20.100000000000001" customHeight="1">
      <c r="A1295" s="901"/>
      <c r="B1295" s="1267"/>
      <c r="C1295" s="1268"/>
      <c r="D1295" s="472" t="s">
        <v>247</v>
      </c>
      <c r="E1295" s="346" t="s">
        <v>248</v>
      </c>
      <c r="F1295" s="347">
        <f>16960</f>
        <v>16960</v>
      </c>
    </row>
    <row r="1296" spans="1:6" ht="17.100000000000001" customHeight="1">
      <c r="A1296" s="901"/>
      <c r="B1296" s="1267"/>
      <c r="C1296" s="1268"/>
      <c r="D1296" s="472" t="s">
        <v>249</v>
      </c>
      <c r="E1296" s="346" t="s">
        <v>250</v>
      </c>
      <c r="F1296" s="347">
        <f>1200</f>
        <v>1200</v>
      </c>
    </row>
    <row r="1297" spans="1:6" ht="17.100000000000001" customHeight="1">
      <c r="A1297" s="901"/>
      <c r="B1297" s="1267"/>
      <c r="C1297" s="1268"/>
      <c r="D1297" s="472" t="s">
        <v>253</v>
      </c>
      <c r="E1297" s="346" t="s">
        <v>254</v>
      </c>
      <c r="F1297" s="347">
        <f>39680</f>
        <v>39680</v>
      </c>
    </row>
    <row r="1298" spans="1:6" ht="17.100000000000001" customHeight="1">
      <c r="A1298" s="901"/>
      <c r="B1298" s="883"/>
      <c r="C1298" s="462"/>
      <c r="D1298" s="472" t="s">
        <v>255</v>
      </c>
      <c r="E1298" s="346" t="s">
        <v>256</v>
      </c>
      <c r="F1298" s="347">
        <f>1900</f>
        <v>1900</v>
      </c>
    </row>
    <row r="1299" spans="1:6" ht="17.100000000000001" customHeight="1">
      <c r="A1299" s="901"/>
      <c r="B1299" s="883"/>
      <c r="C1299" s="462"/>
      <c r="D1299" s="472" t="s">
        <v>259</v>
      </c>
      <c r="E1299" s="346" t="s">
        <v>260</v>
      </c>
      <c r="F1299" s="347">
        <f>1120</f>
        <v>1120</v>
      </c>
    </row>
    <row r="1300" spans="1:6" ht="17.100000000000001" customHeight="1">
      <c r="A1300" s="901"/>
      <c r="B1300" s="1267"/>
      <c r="C1300" s="1268"/>
      <c r="D1300" s="472" t="s">
        <v>335</v>
      </c>
      <c r="E1300" s="346" t="s">
        <v>336</v>
      </c>
      <c r="F1300" s="347">
        <f>1000</f>
        <v>1000</v>
      </c>
    </row>
    <row r="1301" spans="1:6" ht="17.100000000000001" customHeight="1">
      <c r="A1301" s="901"/>
      <c r="B1301" s="1267"/>
      <c r="C1301" s="1268"/>
      <c r="D1301" s="472" t="s">
        <v>261</v>
      </c>
      <c r="E1301" s="346" t="s">
        <v>262</v>
      </c>
      <c r="F1301" s="347">
        <f>1000</f>
        <v>1000</v>
      </c>
    </row>
    <row r="1302" spans="1:6" ht="17.100000000000001" customHeight="1">
      <c r="A1302" s="901"/>
      <c r="B1302" s="883"/>
      <c r="C1302" s="462"/>
      <c r="D1302" s="1267"/>
      <c r="E1302" s="1269"/>
      <c r="F1302" s="1270"/>
    </row>
    <row r="1303" spans="1:6" ht="17.100000000000001" customHeight="1">
      <c r="A1303" s="901"/>
      <c r="B1303" s="883"/>
      <c r="C1303" s="462"/>
      <c r="D1303" s="1290" t="s">
        <v>286</v>
      </c>
      <c r="E1303" s="1291"/>
      <c r="F1303" s="347">
        <f>F1304</f>
        <v>308</v>
      </c>
    </row>
    <row r="1304" spans="1:6" ht="40.5" customHeight="1">
      <c r="A1304" s="901"/>
      <c r="B1304" s="883"/>
      <c r="C1304" s="462"/>
      <c r="D1304" s="472" t="s">
        <v>581</v>
      </c>
      <c r="E1304" s="346" t="s">
        <v>582</v>
      </c>
      <c r="F1304" s="347">
        <f>308</f>
        <v>308</v>
      </c>
    </row>
    <row r="1305" spans="1:6" ht="17.100000000000001" customHeight="1">
      <c r="A1305" s="901"/>
      <c r="B1305" s="883"/>
      <c r="C1305" s="462"/>
      <c r="D1305" s="1267"/>
      <c r="E1305" s="1269"/>
      <c r="F1305" s="1270"/>
    </row>
    <row r="1306" spans="1:6" ht="17.100000000000001" customHeight="1">
      <c r="A1306" s="901"/>
      <c r="B1306" s="883"/>
      <c r="C1306" s="462"/>
      <c r="D1306" s="1290" t="s">
        <v>467</v>
      </c>
      <c r="E1306" s="1291"/>
      <c r="F1306" s="347">
        <f>F1307</f>
        <v>3150</v>
      </c>
    </row>
    <row r="1307" spans="1:6" ht="17.100000000000001" customHeight="1">
      <c r="A1307" s="901"/>
      <c r="B1307" s="883"/>
      <c r="C1307" s="462"/>
      <c r="D1307" s="472" t="s">
        <v>264</v>
      </c>
      <c r="E1307" s="346" t="s">
        <v>265</v>
      </c>
      <c r="F1307" s="347">
        <f>3150</f>
        <v>3150</v>
      </c>
    </row>
    <row r="1308" spans="1:6" ht="17.100000000000001" customHeight="1">
      <c r="A1308" s="901"/>
      <c r="B1308" s="1278" t="s">
        <v>31</v>
      </c>
      <c r="C1308" s="1279"/>
      <c r="D1308" s="340"/>
      <c r="E1308" s="341" t="s">
        <v>583</v>
      </c>
      <c r="F1308" s="342">
        <f>F1309+F1345</f>
        <v>2670966</v>
      </c>
    </row>
    <row r="1309" spans="1:6" ht="17.100000000000001" customHeight="1">
      <c r="A1309" s="901"/>
      <c r="B1309" s="883"/>
      <c r="C1309" s="462"/>
      <c r="D1309" s="1284" t="s">
        <v>213</v>
      </c>
      <c r="E1309" s="1285"/>
      <c r="F1309" s="343">
        <f>F1310+F1338+F1341</f>
        <v>2652966</v>
      </c>
    </row>
    <row r="1310" spans="1:6" ht="17.100000000000001" customHeight="1">
      <c r="A1310" s="901"/>
      <c r="B1310" s="883"/>
      <c r="C1310" s="462"/>
      <c r="D1310" s="1286" t="s">
        <v>214</v>
      </c>
      <c r="E1310" s="1294"/>
      <c r="F1310" s="347">
        <f>F1311+F1318</f>
        <v>1849516</v>
      </c>
    </row>
    <row r="1311" spans="1:6" ht="17.100000000000001" customHeight="1">
      <c r="A1311" s="901"/>
      <c r="B1311" s="883"/>
      <c r="C1311" s="462"/>
      <c r="D1311" s="1288" t="s">
        <v>215</v>
      </c>
      <c r="E1311" s="1295"/>
      <c r="F1311" s="347">
        <f>SUM(F1312:F1316)</f>
        <v>1448474</v>
      </c>
    </row>
    <row r="1312" spans="1:6" ht="17.100000000000001" customHeight="1">
      <c r="A1312" s="901"/>
      <c r="B1312" s="1267"/>
      <c r="C1312" s="1268"/>
      <c r="D1312" s="472" t="s">
        <v>216</v>
      </c>
      <c r="E1312" s="346" t="s">
        <v>217</v>
      </c>
      <c r="F1312" s="347">
        <f>1135835</f>
        <v>1135835</v>
      </c>
    </row>
    <row r="1313" spans="1:6" ht="17.100000000000001" customHeight="1">
      <c r="A1313" s="901"/>
      <c r="B1313" s="1267"/>
      <c r="C1313" s="1268"/>
      <c r="D1313" s="472" t="s">
        <v>218</v>
      </c>
      <c r="E1313" s="346" t="s">
        <v>219</v>
      </c>
      <c r="F1313" s="347">
        <f>74000</f>
        <v>74000</v>
      </c>
    </row>
    <row r="1314" spans="1:6" ht="17.100000000000001" customHeight="1">
      <c r="A1314" s="901"/>
      <c r="B1314" s="1267"/>
      <c r="C1314" s="1268"/>
      <c r="D1314" s="472" t="s">
        <v>220</v>
      </c>
      <c r="E1314" s="346" t="s">
        <v>221</v>
      </c>
      <c r="F1314" s="347">
        <f>205576</f>
        <v>205576</v>
      </c>
    </row>
    <row r="1315" spans="1:6" ht="17.100000000000001" customHeight="1">
      <c r="A1315" s="901"/>
      <c r="B1315" s="1267"/>
      <c r="C1315" s="1268"/>
      <c r="D1315" s="472" t="s">
        <v>222</v>
      </c>
      <c r="E1315" s="346" t="s">
        <v>223</v>
      </c>
      <c r="F1315" s="347">
        <f>28063</f>
        <v>28063</v>
      </c>
    </row>
    <row r="1316" spans="1:6" ht="17.100000000000001" customHeight="1">
      <c r="A1316" s="901"/>
      <c r="B1316" s="883"/>
      <c r="C1316" s="462"/>
      <c r="D1316" s="352" t="s">
        <v>224</v>
      </c>
      <c r="E1316" s="356" t="s">
        <v>225</v>
      </c>
      <c r="F1316" s="401">
        <f>5000</f>
        <v>5000</v>
      </c>
    </row>
    <row r="1317" spans="1:6" ht="17.100000000000001" customHeight="1">
      <c r="A1317" s="901"/>
      <c r="B1317" s="883"/>
      <c r="C1317" s="462"/>
      <c r="D1317" s="1267"/>
      <c r="E1317" s="1269"/>
      <c r="F1317" s="1270"/>
    </row>
    <row r="1318" spans="1:6" ht="17.100000000000001" customHeight="1">
      <c r="A1318" s="901"/>
      <c r="B1318" s="883"/>
      <c r="C1318" s="462"/>
      <c r="D1318" s="1292" t="s">
        <v>226</v>
      </c>
      <c r="E1318" s="1293"/>
      <c r="F1318" s="347">
        <f>SUM(F1319:F1336)</f>
        <v>401042</v>
      </c>
    </row>
    <row r="1319" spans="1:6" ht="17.100000000000001" customHeight="1">
      <c r="A1319" s="901"/>
      <c r="B1319" s="883"/>
      <c r="C1319" s="462"/>
      <c r="D1319" s="472" t="s">
        <v>227</v>
      </c>
      <c r="E1319" s="346" t="s">
        <v>228</v>
      </c>
      <c r="F1319" s="347">
        <f>30000</f>
        <v>30000</v>
      </c>
    </row>
    <row r="1320" spans="1:6" ht="17.100000000000001" customHeight="1">
      <c r="A1320" s="901"/>
      <c r="B1320" s="1267"/>
      <c r="C1320" s="1268"/>
      <c r="D1320" s="472" t="s">
        <v>229</v>
      </c>
      <c r="E1320" s="346" t="s">
        <v>230</v>
      </c>
      <c r="F1320" s="347">
        <f>42056</f>
        <v>42056</v>
      </c>
    </row>
    <row r="1321" spans="1:6" ht="17.100000000000001" customHeight="1">
      <c r="A1321" s="901"/>
      <c r="B1321" s="1267"/>
      <c r="C1321" s="1268"/>
      <c r="D1321" s="472" t="s">
        <v>231</v>
      </c>
      <c r="E1321" s="346" t="s">
        <v>232</v>
      </c>
      <c r="F1321" s="347">
        <f>41000</f>
        <v>41000</v>
      </c>
    </row>
    <row r="1322" spans="1:6" ht="17.100000000000001" customHeight="1">
      <c r="A1322" s="901"/>
      <c r="B1322" s="1267"/>
      <c r="C1322" s="1268"/>
      <c r="D1322" s="472" t="s">
        <v>233</v>
      </c>
      <c r="E1322" s="346" t="s">
        <v>234</v>
      </c>
      <c r="F1322" s="347">
        <f>17000</f>
        <v>17000</v>
      </c>
    </row>
    <row r="1323" spans="1:6" ht="17.100000000000001" customHeight="1">
      <c r="A1323" s="901"/>
      <c r="B1323" s="1267"/>
      <c r="C1323" s="1268"/>
      <c r="D1323" s="472" t="s">
        <v>235</v>
      </c>
      <c r="E1323" s="346" t="s">
        <v>236</v>
      </c>
      <c r="F1323" s="347">
        <f>3650</f>
        <v>3650</v>
      </c>
    </row>
    <row r="1324" spans="1:6" ht="17.100000000000001" customHeight="1">
      <c r="A1324" s="901"/>
      <c r="B1324" s="1267"/>
      <c r="C1324" s="1268"/>
      <c r="D1324" s="472" t="s">
        <v>237</v>
      </c>
      <c r="E1324" s="346" t="s">
        <v>238</v>
      </c>
      <c r="F1324" s="347">
        <f>115325</f>
        <v>115325</v>
      </c>
    </row>
    <row r="1325" spans="1:6" ht="17.100000000000001" customHeight="1">
      <c r="A1325" s="901"/>
      <c r="B1325" s="1267"/>
      <c r="C1325" s="1268"/>
      <c r="D1325" s="472" t="s">
        <v>239</v>
      </c>
      <c r="E1325" s="346" t="s">
        <v>240</v>
      </c>
      <c r="F1325" s="347">
        <f>7494</f>
        <v>7494</v>
      </c>
    </row>
    <row r="1326" spans="1:6" ht="26.25" customHeight="1">
      <c r="A1326" s="901"/>
      <c r="B1326" s="1267"/>
      <c r="C1326" s="1268"/>
      <c r="D1326" s="472" t="s">
        <v>241</v>
      </c>
      <c r="E1326" s="346" t="s">
        <v>242</v>
      </c>
      <c r="F1326" s="347">
        <f>2600</f>
        <v>2600</v>
      </c>
    </row>
    <row r="1327" spans="1:6" ht="24.75" customHeight="1">
      <c r="A1327" s="901"/>
      <c r="B1327" s="1267"/>
      <c r="C1327" s="1268"/>
      <c r="D1327" s="472" t="s">
        <v>243</v>
      </c>
      <c r="E1327" s="346" t="s">
        <v>244</v>
      </c>
      <c r="F1327" s="347">
        <f>15000</f>
        <v>15000</v>
      </c>
    </row>
    <row r="1328" spans="1:6" ht="20.25" customHeight="1">
      <c r="A1328" s="901"/>
      <c r="B1328" s="883"/>
      <c r="C1328" s="462"/>
      <c r="D1328" s="472" t="s">
        <v>245</v>
      </c>
      <c r="E1328" s="346" t="s">
        <v>246</v>
      </c>
      <c r="F1328" s="347">
        <f>10000</f>
        <v>10000</v>
      </c>
    </row>
    <row r="1329" spans="1:6" ht="20.100000000000001" customHeight="1">
      <c r="A1329" s="901"/>
      <c r="B1329" s="1267"/>
      <c r="C1329" s="1268"/>
      <c r="D1329" s="472" t="s">
        <v>247</v>
      </c>
      <c r="E1329" s="346" t="s">
        <v>248</v>
      </c>
      <c r="F1329" s="347">
        <f>41545</f>
        <v>41545</v>
      </c>
    </row>
    <row r="1330" spans="1:6" ht="17.100000000000001" customHeight="1">
      <c r="A1330" s="901"/>
      <c r="B1330" s="1267"/>
      <c r="C1330" s="1268"/>
      <c r="D1330" s="472" t="s">
        <v>249</v>
      </c>
      <c r="E1330" s="346" t="s">
        <v>250</v>
      </c>
      <c r="F1330" s="347">
        <f>6631</f>
        <v>6631</v>
      </c>
    </row>
    <row r="1331" spans="1:6" ht="17.100000000000001" customHeight="1">
      <c r="A1331" s="901"/>
      <c r="B1331" s="1267"/>
      <c r="C1331" s="1268"/>
      <c r="D1331" s="472" t="s">
        <v>311</v>
      </c>
      <c r="E1331" s="346" t="s">
        <v>312</v>
      </c>
      <c r="F1331" s="347">
        <f>2000</f>
        <v>2000</v>
      </c>
    </row>
    <row r="1332" spans="1:6" ht="17.100000000000001" customHeight="1">
      <c r="A1332" s="901"/>
      <c r="B1332" s="1267"/>
      <c r="C1332" s="1268"/>
      <c r="D1332" s="472" t="s">
        <v>251</v>
      </c>
      <c r="E1332" s="346" t="s">
        <v>252</v>
      </c>
      <c r="F1332" s="347">
        <f>3200</f>
        <v>3200</v>
      </c>
    </row>
    <row r="1333" spans="1:6" ht="17.100000000000001" customHeight="1">
      <c r="A1333" s="901"/>
      <c r="B1333" s="1267"/>
      <c r="C1333" s="1268"/>
      <c r="D1333" s="472" t="s">
        <v>253</v>
      </c>
      <c r="E1333" s="346" t="s">
        <v>254</v>
      </c>
      <c r="F1333" s="347">
        <f>51791</f>
        <v>51791</v>
      </c>
    </row>
    <row r="1334" spans="1:6" ht="17.100000000000001" customHeight="1">
      <c r="A1334" s="901"/>
      <c r="B1334" s="883"/>
      <c r="C1334" s="462"/>
      <c r="D1334" s="472" t="s">
        <v>255</v>
      </c>
      <c r="E1334" s="346" t="s">
        <v>256</v>
      </c>
      <c r="F1334" s="347">
        <f>3290</f>
        <v>3290</v>
      </c>
    </row>
    <row r="1335" spans="1:6" ht="17.100000000000001" customHeight="1">
      <c r="A1335" s="901"/>
      <c r="B1335" s="883"/>
      <c r="C1335" s="462"/>
      <c r="D1335" s="472" t="s">
        <v>259</v>
      </c>
      <c r="E1335" s="346" t="s">
        <v>260</v>
      </c>
      <c r="F1335" s="347">
        <f>2460</f>
        <v>2460</v>
      </c>
    </row>
    <row r="1336" spans="1:6" ht="17.100000000000001" customHeight="1">
      <c r="A1336" s="901"/>
      <c r="B1336" s="1267"/>
      <c r="C1336" s="1268"/>
      <c r="D1336" s="472" t="s">
        <v>261</v>
      </c>
      <c r="E1336" s="346" t="s">
        <v>262</v>
      </c>
      <c r="F1336" s="347">
        <f>6000</f>
        <v>6000</v>
      </c>
    </row>
    <row r="1337" spans="1:6" ht="17.100000000000001" customHeight="1">
      <c r="A1337" s="901"/>
      <c r="B1337" s="883"/>
      <c r="C1337" s="462"/>
      <c r="D1337" s="1267"/>
      <c r="E1337" s="1269"/>
      <c r="F1337" s="1270"/>
    </row>
    <row r="1338" spans="1:6" ht="17.100000000000001" customHeight="1">
      <c r="A1338" s="901"/>
      <c r="B1338" s="883"/>
      <c r="C1338" s="462"/>
      <c r="D1338" s="1290" t="s">
        <v>286</v>
      </c>
      <c r="E1338" s="1291"/>
      <c r="F1338" s="347">
        <f>F1339</f>
        <v>800000</v>
      </c>
    </row>
    <row r="1339" spans="1:6" ht="38.25" customHeight="1">
      <c r="A1339" s="901"/>
      <c r="B1339" s="883"/>
      <c r="C1339" s="462"/>
      <c r="D1339" s="472" t="s">
        <v>337</v>
      </c>
      <c r="E1339" s="346" t="s">
        <v>338</v>
      </c>
      <c r="F1339" s="347">
        <f>800000</f>
        <v>800000</v>
      </c>
    </row>
    <row r="1340" spans="1:6" ht="17.100000000000001" customHeight="1">
      <c r="A1340" s="901"/>
      <c r="B1340" s="883"/>
      <c r="C1340" s="462"/>
      <c r="D1340" s="1267"/>
      <c r="E1340" s="1269"/>
      <c r="F1340" s="1270"/>
    </row>
    <row r="1341" spans="1:6" ht="17.100000000000001" customHeight="1">
      <c r="A1341" s="901"/>
      <c r="B1341" s="883"/>
      <c r="C1341" s="462"/>
      <c r="D1341" s="1290" t="s">
        <v>263</v>
      </c>
      <c r="E1341" s="1291"/>
      <c r="F1341" s="347">
        <f>SUM(F1342:F1343)</f>
        <v>3450</v>
      </c>
    </row>
    <row r="1342" spans="1:6" ht="17.100000000000001" customHeight="1">
      <c r="A1342" s="901"/>
      <c r="B1342" s="883"/>
      <c r="C1342" s="462"/>
      <c r="D1342" s="353" t="s">
        <v>264</v>
      </c>
      <c r="E1342" s="354" t="s">
        <v>265</v>
      </c>
      <c r="F1342" s="355">
        <f>3250</f>
        <v>3250</v>
      </c>
    </row>
    <row r="1343" spans="1:6" ht="17.100000000000001" customHeight="1">
      <c r="A1343" s="901"/>
      <c r="B1343" s="883"/>
      <c r="C1343" s="460"/>
      <c r="D1343" s="351" t="s">
        <v>436</v>
      </c>
      <c r="E1343" s="442" t="s">
        <v>468</v>
      </c>
      <c r="F1343" s="347">
        <f>200</f>
        <v>200</v>
      </c>
    </row>
    <row r="1344" spans="1:6" ht="17.100000000000001" customHeight="1">
      <c r="A1344" s="901"/>
      <c r="B1344" s="883"/>
      <c r="C1344" s="462"/>
      <c r="D1344" s="1267"/>
      <c r="E1344" s="1269"/>
      <c r="F1344" s="1270"/>
    </row>
    <row r="1345" spans="1:6" ht="17.100000000000001" customHeight="1">
      <c r="A1345" s="901"/>
      <c r="B1345" s="883"/>
      <c r="C1345" s="462"/>
      <c r="D1345" s="1296" t="s">
        <v>281</v>
      </c>
      <c r="E1345" s="1297"/>
      <c r="F1345" s="343">
        <f>F1346</f>
        <v>18000</v>
      </c>
    </row>
    <row r="1346" spans="1:6" ht="17.100000000000001" customHeight="1">
      <c r="A1346" s="901"/>
      <c r="B1346" s="883"/>
      <c r="C1346" s="462"/>
      <c r="D1346" s="1290" t="s">
        <v>905</v>
      </c>
      <c r="E1346" s="1291"/>
      <c r="F1346" s="347">
        <f>F1347</f>
        <v>18000</v>
      </c>
    </row>
    <row r="1347" spans="1:6" ht="17.100000000000001" customHeight="1">
      <c r="A1347" s="901"/>
      <c r="B1347" s="1299"/>
      <c r="C1347" s="1300"/>
      <c r="D1347" s="472" t="s">
        <v>270</v>
      </c>
      <c r="E1347" s="346" t="s">
        <v>271</v>
      </c>
      <c r="F1347" s="347">
        <f>18000</f>
        <v>18000</v>
      </c>
    </row>
    <row r="1348" spans="1:6" ht="17.100000000000001" customHeight="1">
      <c r="A1348" s="901"/>
      <c r="B1348" s="1278" t="s">
        <v>584</v>
      </c>
      <c r="C1348" s="1279"/>
      <c r="D1348" s="340"/>
      <c r="E1348" s="341" t="s">
        <v>585</v>
      </c>
      <c r="F1348" s="342">
        <f>F1349</f>
        <v>260816</v>
      </c>
    </row>
    <row r="1349" spans="1:6" ht="17.100000000000001" customHeight="1">
      <c r="A1349" s="901"/>
      <c r="B1349" s="1280"/>
      <c r="C1349" s="1281"/>
      <c r="D1349" s="1284" t="s">
        <v>213</v>
      </c>
      <c r="E1349" s="1285"/>
      <c r="F1349" s="343">
        <f>F1350</f>
        <v>260816</v>
      </c>
    </row>
    <row r="1350" spans="1:6" ht="17.100000000000001" customHeight="1">
      <c r="A1350" s="901"/>
      <c r="B1350" s="1282"/>
      <c r="C1350" s="1283"/>
      <c r="D1350" s="1286" t="s">
        <v>286</v>
      </c>
      <c r="E1350" s="1294"/>
      <c r="F1350" s="347">
        <f>F1351</f>
        <v>260816</v>
      </c>
    </row>
    <row r="1351" spans="1:6" ht="36.75" customHeight="1">
      <c r="A1351" s="901"/>
      <c r="B1351" s="1303"/>
      <c r="C1351" s="1308"/>
      <c r="D1351" s="472" t="s">
        <v>348</v>
      </c>
      <c r="E1351" s="346" t="s">
        <v>349</v>
      </c>
      <c r="F1351" s="347">
        <f>260816</f>
        <v>260816</v>
      </c>
    </row>
    <row r="1352" spans="1:6" ht="17.100000000000001" customHeight="1">
      <c r="A1352" s="901"/>
      <c r="B1352" s="1278" t="s">
        <v>586</v>
      </c>
      <c r="C1352" s="1279"/>
      <c r="D1352" s="340"/>
      <c r="E1352" s="341" t="s">
        <v>587</v>
      </c>
      <c r="F1352" s="342">
        <f>F1353</f>
        <v>593045</v>
      </c>
    </row>
    <row r="1353" spans="1:6" ht="17.100000000000001" customHeight="1">
      <c r="A1353" s="901"/>
      <c r="B1353" s="1280"/>
      <c r="C1353" s="1281"/>
      <c r="D1353" s="1284" t="s">
        <v>213</v>
      </c>
      <c r="E1353" s="1285"/>
      <c r="F1353" s="343">
        <f>F1354</f>
        <v>593045</v>
      </c>
    </row>
    <row r="1354" spans="1:6" ht="17.100000000000001" customHeight="1">
      <c r="A1354" s="901"/>
      <c r="B1354" s="1282"/>
      <c r="C1354" s="1283"/>
      <c r="D1354" s="1286" t="s">
        <v>286</v>
      </c>
      <c r="E1354" s="1294"/>
      <c r="F1354" s="347">
        <f>F1355</f>
        <v>593045</v>
      </c>
    </row>
    <row r="1355" spans="1:6" ht="41.25" customHeight="1">
      <c r="A1355" s="901"/>
      <c r="B1355" s="1303"/>
      <c r="C1355" s="1308"/>
      <c r="D1355" s="472" t="s">
        <v>348</v>
      </c>
      <c r="E1355" s="346" t="s">
        <v>349</v>
      </c>
      <c r="F1355" s="347">
        <f>593045</f>
        <v>593045</v>
      </c>
    </row>
    <row r="1356" spans="1:6" ht="17.100000000000001" customHeight="1">
      <c r="A1356" s="901"/>
      <c r="B1356" s="1278" t="s">
        <v>588</v>
      </c>
      <c r="C1356" s="1279"/>
      <c r="D1356" s="340"/>
      <c r="E1356" s="341" t="s">
        <v>910</v>
      </c>
      <c r="F1356" s="342">
        <f>F1357</f>
        <v>700000</v>
      </c>
    </row>
    <row r="1357" spans="1:6" ht="17.100000000000001" customHeight="1">
      <c r="A1357" s="901"/>
      <c r="B1357" s="883"/>
      <c r="C1357" s="470"/>
      <c r="D1357" s="1284" t="s">
        <v>213</v>
      </c>
      <c r="E1357" s="1285"/>
      <c r="F1357" s="343">
        <f>F1358+F1384</f>
        <v>700000</v>
      </c>
    </row>
    <row r="1358" spans="1:6" ht="17.100000000000001" customHeight="1">
      <c r="A1358" s="901"/>
      <c r="B1358" s="883"/>
      <c r="C1358" s="470"/>
      <c r="D1358" s="1286" t="s">
        <v>214</v>
      </c>
      <c r="E1358" s="1294"/>
      <c r="F1358" s="347">
        <f>SUM(F1359+F1366)</f>
        <v>698870</v>
      </c>
    </row>
    <row r="1359" spans="1:6" ht="17.100000000000001" customHeight="1">
      <c r="A1359" s="901"/>
      <c r="B1359" s="883"/>
      <c r="C1359" s="470"/>
      <c r="D1359" s="1288" t="s">
        <v>215</v>
      </c>
      <c r="E1359" s="1295"/>
      <c r="F1359" s="347">
        <f>SUM(F1360:F1364)</f>
        <v>525204</v>
      </c>
    </row>
    <row r="1360" spans="1:6" ht="17.100000000000001" customHeight="1">
      <c r="A1360" s="901"/>
      <c r="B1360" s="1267"/>
      <c r="C1360" s="1444"/>
      <c r="D1360" s="472" t="s">
        <v>216</v>
      </c>
      <c r="E1360" s="346" t="s">
        <v>217</v>
      </c>
      <c r="F1360" s="347">
        <f>375562</f>
        <v>375562</v>
      </c>
    </row>
    <row r="1361" spans="1:6" ht="17.100000000000001" customHeight="1">
      <c r="A1361" s="901"/>
      <c r="B1361" s="883"/>
      <c r="C1361" s="462"/>
      <c r="D1361" s="472" t="s">
        <v>218</v>
      </c>
      <c r="E1361" s="346" t="s">
        <v>219</v>
      </c>
      <c r="F1361" s="347">
        <f>56860</f>
        <v>56860</v>
      </c>
    </row>
    <row r="1362" spans="1:6" ht="17.100000000000001" customHeight="1">
      <c r="A1362" s="901"/>
      <c r="B1362" s="1267"/>
      <c r="C1362" s="1444"/>
      <c r="D1362" s="472" t="s">
        <v>220</v>
      </c>
      <c r="E1362" s="346" t="s">
        <v>221</v>
      </c>
      <c r="F1362" s="347">
        <f>75402</f>
        <v>75402</v>
      </c>
    </row>
    <row r="1363" spans="1:6" ht="17.100000000000001" customHeight="1">
      <c r="A1363" s="901"/>
      <c r="B1363" s="1267"/>
      <c r="C1363" s="1444"/>
      <c r="D1363" s="353" t="s">
        <v>222</v>
      </c>
      <c r="E1363" s="354" t="s">
        <v>223</v>
      </c>
      <c r="F1363" s="355">
        <f>10180</f>
        <v>10180</v>
      </c>
    </row>
    <row r="1364" spans="1:6" ht="17.100000000000001" customHeight="1">
      <c r="A1364" s="901"/>
      <c r="B1364" s="883"/>
      <c r="C1364" s="470"/>
      <c r="D1364" s="472" t="s">
        <v>224</v>
      </c>
      <c r="E1364" s="346" t="s">
        <v>225</v>
      </c>
      <c r="F1364" s="395">
        <f>7200</f>
        <v>7200</v>
      </c>
    </row>
    <row r="1365" spans="1:6" ht="17.100000000000001" customHeight="1">
      <c r="A1365" s="901"/>
      <c r="B1365" s="883"/>
      <c r="C1365" s="470"/>
      <c r="D1365" s="1267"/>
      <c r="E1365" s="1269"/>
      <c r="F1365" s="1270"/>
    </row>
    <row r="1366" spans="1:6" ht="17.100000000000001" customHeight="1">
      <c r="A1366" s="901"/>
      <c r="B1366" s="883"/>
      <c r="C1366" s="470"/>
      <c r="D1366" s="1292" t="s">
        <v>226</v>
      </c>
      <c r="E1366" s="1293"/>
      <c r="F1366" s="347">
        <f>SUM(F1367:F1382)</f>
        <v>173666</v>
      </c>
    </row>
    <row r="1367" spans="1:6" ht="17.100000000000001" customHeight="1">
      <c r="A1367" s="901"/>
      <c r="B1367" s="883"/>
      <c r="C1367" s="470"/>
      <c r="D1367" s="472" t="s">
        <v>227</v>
      </c>
      <c r="E1367" s="346" t="s">
        <v>228</v>
      </c>
      <c r="F1367" s="347">
        <f>4177</f>
        <v>4177</v>
      </c>
    </row>
    <row r="1368" spans="1:6" ht="17.100000000000001" customHeight="1">
      <c r="A1368" s="901"/>
      <c r="B1368" s="1267"/>
      <c r="C1368" s="1444"/>
      <c r="D1368" s="472" t="s">
        <v>229</v>
      </c>
      <c r="E1368" s="346" t="s">
        <v>230</v>
      </c>
      <c r="F1368" s="347">
        <f>18241</f>
        <v>18241</v>
      </c>
    </row>
    <row r="1369" spans="1:6" ht="17.100000000000001" customHeight="1">
      <c r="A1369" s="901"/>
      <c r="B1369" s="1267"/>
      <c r="C1369" s="1444"/>
      <c r="D1369" s="472" t="s">
        <v>231</v>
      </c>
      <c r="E1369" s="346" t="s">
        <v>232</v>
      </c>
      <c r="F1369" s="347">
        <f>7600</f>
        <v>7600</v>
      </c>
    </row>
    <row r="1370" spans="1:6" ht="17.100000000000001" customHeight="1">
      <c r="A1370" s="901"/>
      <c r="B1370" s="883"/>
      <c r="C1370" s="470"/>
      <c r="D1370" s="472" t="s">
        <v>233</v>
      </c>
      <c r="E1370" s="346" t="s">
        <v>234</v>
      </c>
      <c r="F1370" s="347">
        <f>4740</f>
        <v>4740</v>
      </c>
    </row>
    <row r="1371" spans="1:6" ht="17.100000000000001" customHeight="1">
      <c r="A1371" s="901"/>
      <c r="B1371" s="1267"/>
      <c r="C1371" s="1444"/>
      <c r="D1371" s="472" t="s">
        <v>235</v>
      </c>
      <c r="E1371" s="346" t="s">
        <v>236</v>
      </c>
      <c r="F1371" s="347">
        <f>1500</f>
        <v>1500</v>
      </c>
    </row>
    <row r="1372" spans="1:6" ht="17.100000000000001" customHeight="1">
      <c r="A1372" s="901"/>
      <c r="B1372" s="1267"/>
      <c r="C1372" s="1444"/>
      <c r="D1372" s="472" t="s">
        <v>237</v>
      </c>
      <c r="E1372" s="346" t="s">
        <v>238</v>
      </c>
      <c r="F1372" s="347">
        <f>27150</f>
        <v>27150</v>
      </c>
    </row>
    <row r="1373" spans="1:6" ht="17.100000000000001" customHeight="1">
      <c r="A1373" s="901"/>
      <c r="B1373" s="1267"/>
      <c r="C1373" s="1444"/>
      <c r="D1373" s="472" t="s">
        <v>239</v>
      </c>
      <c r="E1373" s="346" t="s">
        <v>240</v>
      </c>
      <c r="F1373" s="347">
        <f>3600</f>
        <v>3600</v>
      </c>
    </row>
    <row r="1374" spans="1:6" ht="26.25" customHeight="1">
      <c r="A1374" s="901"/>
      <c r="B1374" s="1267"/>
      <c r="C1374" s="1444"/>
      <c r="D1374" s="472" t="s">
        <v>243</v>
      </c>
      <c r="E1374" s="346" t="s">
        <v>244</v>
      </c>
      <c r="F1374" s="347">
        <f>4000</f>
        <v>4000</v>
      </c>
    </row>
    <row r="1375" spans="1:6" ht="17.100000000000001" customHeight="1">
      <c r="A1375" s="901"/>
      <c r="B1375" s="1267"/>
      <c r="C1375" s="1444"/>
      <c r="D1375" s="472" t="s">
        <v>441</v>
      </c>
      <c r="E1375" s="346" t="s">
        <v>442</v>
      </c>
      <c r="F1375" s="347">
        <f>208</f>
        <v>208</v>
      </c>
    </row>
    <row r="1376" spans="1:6" ht="24.75" customHeight="1">
      <c r="A1376" s="901"/>
      <c r="B1376" s="1267"/>
      <c r="C1376" s="1444"/>
      <c r="D1376" s="472" t="s">
        <v>247</v>
      </c>
      <c r="E1376" s="346" t="s">
        <v>248</v>
      </c>
      <c r="F1376" s="347">
        <f>73900</f>
        <v>73900</v>
      </c>
    </row>
    <row r="1377" spans="1:6" ht="17.100000000000001" customHeight="1">
      <c r="A1377" s="901"/>
      <c r="B1377" s="1267"/>
      <c r="C1377" s="1444"/>
      <c r="D1377" s="472" t="s">
        <v>249</v>
      </c>
      <c r="E1377" s="346" t="s">
        <v>250</v>
      </c>
      <c r="F1377" s="347">
        <f>9000</f>
        <v>9000</v>
      </c>
    </row>
    <row r="1378" spans="1:6" ht="17.100000000000001" customHeight="1">
      <c r="A1378" s="901"/>
      <c r="B1378" s="1267"/>
      <c r="C1378" s="1268"/>
      <c r="D1378" s="472" t="s">
        <v>251</v>
      </c>
      <c r="E1378" s="346" t="s">
        <v>252</v>
      </c>
      <c r="F1378" s="347">
        <v>0</v>
      </c>
    </row>
    <row r="1379" spans="1:6" ht="17.100000000000001" customHeight="1">
      <c r="A1379" s="901"/>
      <c r="B1379" s="1267"/>
      <c r="C1379" s="1268"/>
      <c r="D1379" s="472" t="s">
        <v>253</v>
      </c>
      <c r="E1379" s="346" t="s">
        <v>254</v>
      </c>
      <c r="F1379" s="347">
        <f>14950</f>
        <v>14950</v>
      </c>
    </row>
    <row r="1380" spans="1:6" ht="17.100000000000001" customHeight="1">
      <c r="A1380" s="901"/>
      <c r="B1380" s="1267"/>
      <c r="C1380" s="1268"/>
      <c r="D1380" s="472" t="s">
        <v>255</v>
      </c>
      <c r="E1380" s="346" t="s">
        <v>256</v>
      </c>
      <c r="F1380" s="347">
        <f>2400</f>
        <v>2400</v>
      </c>
    </row>
    <row r="1381" spans="1:6" ht="17.100000000000001" customHeight="1">
      <c r="A1381" s="901"/>
      <c r="B1381" s="1267"/>
      <c r="C1381" s="1268"/>
      <c r="D1381" s="472" t="s">
        <v>259</v>
      </c>
      <c r="E1381" s="346" t="s">
        <v>260</v>
      </c>
      <c r="F1381" s="347">
        <f>700</f>
        <v>700</v>
      </c>
    </row>
    <row r="1382" spans="1:6" ht="17.100000000000001" customHeight="1">
      <c r="A1382" s="901"/>
      <c r="B1382" s="1267"/>
      <c r="C1382" s="1268"/>
      <c r="D1382" s="472" t="s">
        <v>261</v>
      </c>
      <c r="E1382" s="346" t="s">
        <v>262</v>
      </c>
      <c r="F1382" s="347">
        <f>1500</f>
        <v>1500</v>
      </c>
    </row>
    <row r="1383" spans="1:6" ht="17.100000000000001" customHeight="1">
      <c r="A1383" s="901"/>
      <c r="B1383" s="1267"/>
      <c r="C1383" s="1268"/>
      <c r="D1383" s="1267"/>
      <c r="E1383" s="1269"/>
      <c r="F1383" s="1270"/>
    </row>
    <row r="1384" spans="1:6" ht="17.100000000000001" customHeight="1">
      <c r="A1384" s="901"/>
      <c r="B1384" s="1267"/>
      <c r="C1384" s="1268"/>
      <c r="D1384" s="1290" t="s">
        <v>263</v>
      </c>
      <c r="E1384" s="1291"/>
      <c r="F1384" s="347">
        <f>F1385</f>
        <v>1130</v>
      </c>
    </row>
    <row r="1385" spans="1:6" ht="17.100000000000001" customHeight="1">
      <c r="A1385" s="901"/>
      <c r="B1385" s="1299"/>
      <c r="C1385" s="1300"/>
      <c r="D1385" s="472" t="s">
        <v>264</v>
      </c>
      <c r="E1385" s="346" t="s">
        <v>265</v>
      </c>
      <c r="F1385" s="347">
        <f>1130</f>
        <v>1130</v>
      </c>
    </row>
    <row r="1386" spans="1:6" ht="17.100000000000001" customHeight="1">
      <c r="A1386" s="901"/>
      <c r="B1386" s="1278" t="s">
        <v>589</v>
      </c>
      <c r="C1386" s="1279"/>
      <c r="D1386" s="340"/>
      <c r="E1386" s="341" t="s">
        <v>332</v>
      </c>
      <c r="F1386" s="342">
        <f>F1387+F1424</f>
        <v>7015417</v>
      </c>
    </row>
    <row r="1387" spans="1:6" ht="17.100000000000001" customHeight="1">
      <c r="A1387" s="901"/>
      <c r="B1387" s="1280"/>
      <c r="C1387" s="1301"/>
      <c r="D1387" s="1284" t="s">
        <v>213</v>
      </c>
      <c r="E1387" s="1285"/>
      <c r="F1387" s="343">
        <f>F1388+F1421</f>
        <v>3909016</v>
      </c>
    </row>
    <row r="1388" spans="1:6" ht="17.100000000000001" customHeight="1">
      <c r="A1388" s="901"/>
      <c r="B1388" s="1282"/>
      <c r="C1388" s="1302"/>
      <c r="D1388" s="1286" t="s">
        <v>343</v>
      </c>
      <c r="E1388" s="1294"/>
      <c r="F1388" s="347">
        <f>SUM(F1389:F1419)</f>
        <v>854596</v>
      </c>
    </row>
    <row r="1389" spans="1:6" ht="38.25" customHeight="1">
      <c r="A1389" s="901"/>
      <c r="B1389" s="1282"/>
      <c r="C1389" s="1302"/>
      <c r="D1389" s="443" t="s">
        <v>422</v>
      </c>
      <c r="E1389" s="346" t="s">
        <v>349</v>
      </c>
      <c r="F1389" s="347">
        <v>283570</v>
      </c>
    </row>
    <row r="1390" spans="1:6" ht="17.100000000000001" customHeight="1">
      <c r="A1390" s="901"/>
      <c r="B1390" s="1282"/>
      <c r="C1390" s="1302"/>
      <c r="D1390" s="472" t="s">
        <v>590</v>
      </c>
      <c r="E1390" s="346" t="s">
        <v>217</v>
      </c>
      <c r="F1390" s="347">
        <f>48328</f>
        <v>48328</v>
      </c>
    </row>
    <row r="1391" spans="1:6" ht="17.100000000000001" customHeight="1">
      <c r="A1391" s="901"/>
      <c r="B1391" s="1282"/>
      <c r="C1391" s="1302"/>
      <c r="D1391" s="472" t="s">
        <v>362</v>
      </c>
      <c r="E1391" s="346" t="s">
        <v>217</v>
      </c>
      <c r="F1391" s="347">
        <f>273856</f>
        <v>273856</v>
      </c>
    </row>
    <row r="1392" spans="1:6" ht="17.100000000000001" customHeight="1">
      <c r="A1392" s="901"/>
      <c r="B1392" s="1282"/>
      <c r="C1392" s="1302"/>
      <c r="D1392" s="472" t="s">
        <v>591</v>
      </c>
      <c r="E1392" s="346" t="s">
        <v>219</v>
      </c>
      <c r="F1392" s="347">
        <f>3926</f>
        <v>3926</v>
      </c>
    </row>
    <row r="1393" spans="1:6" ht="17.100000000000001" customHeight="1">
      <c r="A1393" s="901"/>
      <c r="B1393" s="1282"/>
      <c r="C1393" s="1302"/>
      <c r="D1393" s="472" t="s">
        <v>423</v>
      </c>
      <c r="E1393" s="346" t="s">
        <v>219</v>
      </c>
      <c r="F1393" s="347">
        <f>22248</f>
        <v>22248</v>
      </c>
    </row>
    <row r="1394" spans="1:6" ht="17.100000000000001" customHeight="1">
      <c r="A1394" s="901"/>
      <c r="B1394" s="1282"/>
      <c r="C1394" s="1302"/>
      <c r="D1394" s="472" t="s">
        <v>592</v>
      </c>
      <c r="E1394" s="346" t="s">
        <v>221</v>
      </c>
      <c r="F1394" s="347">
        <f>9048</f>
        <v>9048</v>
      </c>
    </row>
    <row r="1395" spans="1:6" ht="17.100000000000001" customHeight="1">
      <c r="A1395" s="901"/>
      <c r="B1395" s="1282"/>
      <c r="C1395" s="1302"/>
      <c r="D1395" s="472" t="s">
        <v>363</v>
      </c>
      <c r="E1395" s="346" t="s">
        <v>221</v>
      </c>
      <c r="F1395" s="347">
        <f>51271</f>
        <v>51271</v>
      </c>
    </row>
    <row r="1396" spans="1:6" ht="17.100000000000001" customHeight="1">
      <c r="A1396" s="901"/>
      <c r="B1396" s="1282"/>
      <c r="C1396" s="1302"/>
      <c r="D1396" s="472" t="s">
        <v>593</v>
      </c>
      <c r="E1396" s="346" t="s">
        <v>223</v>
      </c>
      <c r="F1396" s="347">
        <f>1290</f>
        <v>1290</v>
      </c>
    </row>
    <row r="1397" spans="1:6" ht="17.100000000000001" customHeight="1">
      <c r="A1397" s="901"/>
      <c r="B1397" s="1282"/>
      <c r="C1397" s="1302"/>
      <c r="D1397" s="472" t="s">
        <v>364</v>
      </c>
      <c r="E1397" s="346" t="s">
        <v>223</v>
      </c>
      <c r="F1397" s="347">
        <f>7309</f>
        <v>7309</v>
      </c>
    </row>
    <row r="1398" spans="1:6" ht="17.100000000000001" customHeight="1">
      <c r="A1398" s="901"/>
      <c r="B1398" s="1282"/>
      <c r="C1398" s="1302"/>
      <c r="D1398" s="472" t="s">
        <v>594</v>
      </c>
      <c r="E1398" s="346" t="s">
        <v>225</v>
      </c>
      <c r="F1398" s="347">
        <f>375</f>
        <v>375</v>
      </c>
    </row>
    <row r="1399" spans="1:6" ht="17.100000000000001" customHeight="1">
      <c r="A1399" s="901"/>
      <c r="B1399" s="1282"/>
      <c r="C1399" s="1302"/>
      <c r="D1399" s="472" t="s">
        <v>460</v>
      </c>
      <c r="E1399" s="346" t="s">
        <v>225</v>
      </c>
      <c r="F1399" s="347">
        <f>2125</f>
        <v>2125</v>
      </c>
    </row>
    <row r="1400" spans="1:6" ht="17.100000000000001" customHeight="1">
      <c r="A1400" s="901"/>
      <c r="B1400" s="1282"/>
      <c r="C1400" s="1302"/>
      <c r="D1400" s="472" t="s">
        <v>595</v>
      </c>
      <c r="E1400" s="346" t="s">
        <v>230</v>
      </c>
      <c r="F1400" s="347">
        <f>1950</f>
        <v>1950</v>
      </c>
    </row>
    <row r="1401" spans="1:6" ht="17.100000000000001" customHeight="1">
      <c r="A1401" s="901"/>
      <c r="B1401" s="1282"/>
      <c r="C1401" s="1302"/>
      <c r="D1401" s="472" t="s">
        <v>365</v>
      </c>
      <c r="E1401" s="346" t="s">
        <v>230</v>
      </c>
      <c r="F1401" s="347">
        <f>11050</f>
        <v>11050</v>
      </c>
    </row>
    <row r="1402" spans="1:6" ht="17.100000000000001" customHeight="1">
      <c r="A1402" s="901"/>
      <c r="B1402" s="1282"/>
      <c r="C1402" s="1302"/>
      <c r="D1402" s="472" t="s">
        <v>596</v>
      </c>
      <c r="E1402" s="346" t="s">
        <v>232</v>
      </c>
      <c r="F1402" s="347">
        <f>951</f>
        <v>951</v>
      </c>
    </row>
    <row r="1403" spans="1:6" ht="17.100000000000001" customHeight="1">
      <c r="A1403" s="901"/>
      <c r="B1403" s="1282"/>
      <c r="C1403" s="1302"/>
      <c r="D1403" s="472" t="s">
        <v>424</v>
      </c>
      <c r="E1403" s="346" t="s">
        <v>232</v>
      </c>
      <c r="F1403" s="347">
        <f>5389</f>
        <v>5389</v>
      </c>
    </row>
    <row r="1404" spans="1:6" ht="17.100000000000001" customHeight="1">
      <c r="A1404" s="901"/>
      <c r="B1404" s="1282"/>
      <c r="C1404" s="1302"/>
      <c r="D1404" s="472" t="s">
        <v>597</v>
      </c>
      <c r="E1404" s="346" t="s">
        <v>238</v>
      </c>
      <c r="F1404" s="347">
        <f>14960</f>
        <v>14960</v>
      </c>
    </row>
    <row r="1405" spans="1:6" ht="17.100000000000001" customHeight="1">
      <c r="A1405" s="901"/>
      <c r="B1405" s="1282"/>
      <c r="C1405" s="1302"/>
      <c r="D1405" s="472" t="s">
        <v>366</v>
      </c>
      <c r="E1405" s="346" t="s">
        <v>238</v>
      </c>
      <c r="F1405" s="347">
        <f>84778</f>
        <v>84778</v>
      </c>
    </row>
    <row r="1406" spans="1:6" ht="17.100000000000001" customHeight="1">
      <c r="A1406" s="901"/>
      <c r="B1406" s="1282"/>
      <c r="C1406" s="1302"/>
      <c r="D1406" s="472" t="s">
        <v>598</v>
      </c>
      <c r="E1406" s="346" t="s">
        <v>240</v>
      </c>
      <c r="F1406" s="347">
        <f>95</f>
        <v>95</v>
      </c>
    </row>
    <row r="1407" spans="1:6" ht="17.100000000000001" customHeight="1">
      <c r="A1407" s="901"/>
      <c r="B1407" s="1282"/>
      <c r="C1407" s="1302"/>
      <c r="D1407" s="472" t="s">
        <v>426</v>
      </c>
      <c r="E1407" s="346" t="s">
        <v>240</v>
      </c>
      <c r="F1407" s="347">
        <f>535</f>
        <v>535</v>
      </c>
    </row>
    <row r="1408" spans="1:6" ht="25.5">
      <c r="A1408" s="901"/>
      <c r="B1408" s="1282"/>
      <c r="C1408" s="1302"/>
      <c r="D1408" s="472" t="s">
        <v>599</v>
      </c>
      <c r="E1408" s="346" t="s">
        <v>244</v>
      </c>
      <c r="F1408" s="347">
        <f>616</f>
        <v>616</v>
      </c>
    </row>
    <row r="1409" spans="1:6" ht="25.5">
      <c r="A1409" s="901"/>
      <c r="B1409" s="1282"/>
      <c r="C1409" s="1302"/>
      <c r="D1409" s="472" t="s">
        <v>461</v>
      </c>
      <c r="E1409" s="346" t="s">
        <v>244</v>
      </c>
      <c r="F1409" s="347">
        <f>3489</f>
        <v>3489</v>
      </c>
    </row>
    <row r="1410" spans="1:6" ht="17.100000000000001" customHeight="1">
      <c r="A1410" s="901"/>
      <c r="B1410" s="1282"/>
      <c r="C1410" s="1302"/>
      <c r="D1410" s="472" t="s">
        <v>600</v>
      </c>
      <c r="E1410" s="346" t="s">
        <v>442</v>
      </c>
      <c r="F1410" s="347">
        <f>303</f>
        <v>303</v>
      </c>
    </row>
    <row r="1411" spans="1:6" ht="17.100000000000001" customHeight="1">
      <c r="A1411" s="901"/>
      <c r="B1411" s="1282"/>
      <c r="C1411" s="1302"/>
      <c r="D1411" s="472" t="s">
        <v>535</v>
      </c>
      <c r="E1411" s="346" t="s">
        <v>442</v>
      </c>
      <c r="F1411" s="347">
        <f>1714</f>
        <v>1714</v>
      </c>
    </row>
    <row r="1412" spans="1:6" ht="20.100000000000001" customHeight="1">
      <c r="A1412" s="901"/>
      <c r="B1412" s="1282"/>
      <c r="C1412" s="1302"/>
      <c r="D1412" s="472" t="s">
        <v>601</v>
      </c>
      <c r="E1412" s="346" t="s">
        <v>248</v>
      </c>
      <c r="F1412" s="347">
        <f>3405</f>
        <v>3405</v>
      </c>
    </row>
    <row r="1413" spans="1:6" ht="20.100000000000001" customHeight="1">
      <c r="A1413" s="901"/>
      <c r="B1413" s="1282"/>
      <c r="C1413" s="1302"/>
      <c r="D1413" s="472" t="s">
        <v>462</v>
      </c>
      <c r="E1413" s="346" t="s">
        <v>248</v>
      </c>
      <c r="F1413" s="347">
        <f>19295</f>
        <v>19295</v>
      </c>
    </row>
    <row r="1414" spans="1:6" ht="17.100000000000001" customHeight="1">
      <c r="A1414" s="901"/>
      <c r="B1414" s="1282"/>
      <c r="C1414" s="1302"/>
      <c r="D1414" s="472" t="s">
        <v>602</v>
      </c>
      <c r="E1414" s="346" t="s">
        <v>250</v>
      </c>
      <c r="F1414" s="347">
        <f>300</f>
        <v>300</v>
      </c>
    </row>
    <row r="1415" spans="1:6" ht="17.100000000000001" customHeight="1">
      <c r="A1415" s="901"/>
      <c r="B1415" s="1282"/>
      <c r="C1415" s="1302"/>
      <c r="D1415" s="353" t="s">
        <v>392</v>
      </c>
      <c r="E1415" s="354" t="s">
        <v>250</v>
      </c>
      <c r="F1415" s="355">
        <f>1700</f>
        <v>1700</v>
      </c>
    </row>
    <row r="1416" spans="1:6" ht="17.100000000000001" hidden="1" customHeight="1">
      <c r="A1416" s="901"/>
      <c r="B1416" s="1282"/>
      <c r="C1416" s="1302"/>
      <c r="D1416" s="472" t="s">
        <v>603</v>
      </c>
      <c r="E1416" s="346" t="s">
        <v>256</v>
      </c>
      <c r="F1416" s="395"/>
    </row>
    <row r="1417" spans="1:6" ht="17.100000000000001" hidden="1" customHeight="1">
      <c r="A1417" s="901"/>
      <c r="B1417" s="1282"/>
      <c r="C1417" s="1302"/>
      <c r="D1417" s="472" t="s">
        <v>604</v>
      </c>
      <c r="E1417" s="346" t="s">
        <v>256</v>
      </c>
      <c r="F1417" s="395"/>
    </row>
    <row r="1418" spans="1:6" ht="17.100000000000001" customHeight="1">
      <c r="A1418" s="901"/>
      <c r="B1418" s="1282"/>
      <c r="C1418" s="1302"/>
      <c r="D1418" s="472" t="s">
        <v>605</v>
      </c>
      <c r="E1418" s="346" t="s">
        <v>260</v>
      </c>
      <c r="F1418" s="395">
        <f>108</f>
        <v>108</v>
      </c>
    </row>
    <row r="1419" spans="1:6" ht="17.100000000000001" customHeight="1">
      <c r="A1419" s="901"/>
      <c r="B1419" s="1282"/>
      <c r="C1419" s="1302"/>
      <c r="D1419" s="472" t="s">
        <v>536</v>
      </c>
      <c r="E1419" s="346" t="s">
        <v>260</v>
      </c>
      <c r="F1419" s="395">
        <f>612</f>
        <v>612</v>
      </c>
    </row>
    <row r="1420" spans="1:6" ht="17.100000000000001" customHeight="1">
      <c r="A1420" s="901"/>
      <c r="B1420" s="1282"/>
      <c r="C1420" s="1302"/>
      <c r="D1420" s="1267"/>
      <c r="E1420" s="1269"/>
      <c r="F1420" s="1270"/>
    </row>
    <row r="1421" spans="1:6" ht="17.100000000000001" customHeight="1">
      <c r="A1421" s="901"/>
      <c r="B1421" s="1282"/>
      <c r="C1421" s="1302"/>
      <c r="D1421" s="1418" t="s">
        <v>286</v>
      </c>
      <c r="E1421" s="1445"/>
      <c r="F1421" s="355">
        <f>SUM(F1422:F1422)</f>
        <v>3054420</v>
      </c>
    </row>
    <row r="1422" spans="1:6" ht="39" customHeight="1">
      <c r="A1422" s="901"/>
      <c r="B1422" s="1282"/>
      <c r="C1422" s="1302"/>
      <c r="D1422" s="479" t="s">
        <v>348</v>
      </c>
      <c r="E1422" s="418" t="s">
        <v>349</v>
      </c>
      <c r="F1422" s="347">
        <f>3054420</f>
        <v>3054420</v>
      </c>
    </row>
    <row r="1423" spans="1:6" ht="17.100000000000001" customHeight="1">
      <c r="A1423" s="901"/>
      <c r="B1423" s="1282"/>
      <c r="C1423" s="1302"/>
      <c r="D1423" s="1267"/>
      <c r="E1423" s="1269"/>
      <c r="F1423" s="1270"/>
    </row>
    <row r="1424" spans="1:6" ht="17.100000000000001" customHeight="1">
      <c r="A1424" s="901"/>
      <c r="B1424" s="1282"/>
      <c r="C1424" s="1302"/>
      <c r="D1424" s="1296" t="s">
        <v>281</v>
      </c>
      <c r="E1424" s="1297"/>
      <c r="F1424" s="343">
        <f>F1425</f>
        <v>3106401</v>
      </c>
    </row>
    <row r="1425" spans="1:7" ht="17.100000000000001" customHeight="1">
      <c r="A1425" s="901"/>
      <c r="B1425" s="1282"/>
      <c r="C1425" s="1302"/>
      <c r="D1425" s="1290" t="s">
        <v>904</v>
      </c>
      <c r="E1425" s="1291"/>
      <c r="F1425" s="347">
        <f>F1426</f>
        <v>3106401</v>
      </c>
      <c r="G1425" s="375"/>
    </row>
    <row r="1426" spans="1:7" ht="38.25">
      <c r="A1426" s="901"/>
      <c r="B1426" s="1282"/>
      <c r="C1426" s="1302"/>
      <c r="D1426" s="472" t="s">
        <v>394</v>
      </c>
      <c r="E1426" s="346" t="s">
        <v>349</v>
      </c>
      <c r="F1426" s="347">
        <f>3106401</f>
        <v>3106401</v>
      </c>
      <c r="G1426" s="363"/>
    </row>
    <row r="1427" spans="1:7" ht="15" customHeight="1">
      <c r="A1427" s="901"/>
      <c r="B1427" s="1319"/>
      <c r="C1427" s="1320"/>
      <c r="D1427" s="1267"/>
      <c r="E1427" s="1323"/>
      <c r="F1427" s="1324"/>
      <c r="G1427" s="363"/>
    </row>
    <row r="1428" spans="1:7" ht="18.75" customHeight="1">
      <c r="A1428" s="901"/>
      <c r="B1428" s="1319"/>
      <c r="C1428" s="1320"/>
      <c r="D1428" s="1292" t="s">
        <v>284</v>
      </c>
      <c r="E1428" s="1307"/>
      <c r="F1428" s="347">
        <f>F1429</f>
        <v>3106401</v>
      </c>
      <c r="G1428" s="363"/>
    </row>
    <row r="1429" spans="1:7" ht="39.75" customHeight="1">
      <c r="A1429" s="901"/>
      <c r="B1429" s="1321"/>
      <c r="C1429" s="1322"/>
      <c r="D1429" s="472" t="s">
        <v>394</v>
      </c>
      <c r="E1429" s="346" t="s">
        <v>349</v>
      </c>
      <c r="F1429" s="347">
        <v>3106401</v>
      </c>
      <c r="G1429" s="363"/>
    </row>
    <row r="1430" spans="1:7" ht="17.100000000000001" customHeight="1">
      <c r="A1430" s="900" t="s">
        <v>27</v>
      </c>
      <c r="B1430" s="1276"/>
      <c r="C1430" s="1277"/>
      <c r="D1430" s="337"/>
      <c r="E1430" s="338" t="s">
        <v>606</v>
      </c>
      <c r="F1430" s="339">
        <f>F1431+F1437+F1525</f>
        <v>39917101</v>
      </c>
    </row>
    <row r="1431" spans="1:7" ht="17.100000000000001" customHeight="1">
      <c r="A1431" s="901"/>
      <c r="B1431" s="1278" t="s">
        <v>32</v>
      </c>
      <c r="C1431" s="1279"/>
      <c r="D1431" s="340"/>
      <c r="E1431" s="341" t="s">
        <v>607</v>
      </c>
      <c r="F1431" s="342">
        <f>F1432</f>
        <v>1396650</v>
      </c>
    </row>
    <row r="1432" spans="1:7" ht="17.100000000000001" customHeight="1">
      <c r="A1432" s="901"/>
      <c r="B1432" s="1280"/>
      <c r="C1432" s="1281"/>
      <c r="D1432" s="1284" t="s">
        <v>213</v>
      </c>
      <c r="E1432" s="1285"/>
      <c r="F1432" s="343">
        <f>F1433</f>
        <v>1396650</v>
      </c>
    </row>
    <row r="1433" spans="1:7" ht="17.100000000000001" customHeight="1">
      <c r="A1433" s="901"/>
      <c r="B1433" s="1282"/>
      <c r="C1433" s="1283"/>
      <c r="D1433" s="1286" t="s">
        <v>286</v>
      </c>
      <c r="E1433" s="1294"/>
      <c r="F1433" s="347">
        <f>SUM(F1434:F1436)</f>
        <v>1396650</v>
      </c>
    </row>
    <row r="1434" spans="1:7" ht="46.5" customHeight="1">
      <c r="A1434" s="901"/>
      <c r="B1434" s="1282"/>
      <c r="C1434" s="1283"/>
      <c r="D1434" s="472" t="s">
        <v>337</v>
      </c>
      <c r="E1434" s="346" t="s">
        <v>338</v>
      </c>
      <c r="F1434" s="347">
        <f>777925</f>
        <v>777925</v>
      </c>
    </row>
    <row r="1435" spans="1:7" ht="28.5" customHeight="1">
      <c r="A1435" s="901"/>
      <c r="B1435" s="1267"/>
      <c r="C1435" s="1268"/>
      <c r="D1435" s="472" t="s">
        <v>608</v>
      </c>
      <c r="E1435" s="346" t="s">
        <v>609</v>
      </c>
      <c r="F1435" s="347">
        <f>65778</f>
        <v>65778</v>
      </c>
    </row>
    <row r="1436" spans="1:7" ht="24" customHeight="1">
      <c r="A1436" s="901"/>
      <c r="B1436" s="1299"/>
      <c r="C1436" s="1300"/>
      <c r="D1436" s="472" t="s">
        <v>610</v>
      </c>
      <c r="E1436" s="346" t="s">
        <v>611</v>
      </c>
      <c r="F1436" s="347">
        <f>552947</f>
        <v>552947</v>
      </c>
    </row>
    <row r="1437" spans="1:7" ht="17.100000000000001" customHeight="1">
      <c r="A1437" s="901"/>
      <c r="B1437" s="1278" t="s">
        <v>612</v>
      </c>
      <c r="C1437" s="1279"/>
      <c r="D1437" s="340"/>
      <c r="E1437" s="341" t="s">
        <v>613</v>
      </c>
      <c r="F1437" s="342">
        <f>F1438+F1511</f>
        <v>36233814</v>
      </c>
    </row>
    <row r="1438" spans="1:7" ht="17.100000000000001" customHeight="1">
      <c r="A1438" s="901"/>
      <c r="B1438" s="883"/>
      <c r="C1438" s="462"/>
      <c r="D1438" s="1284" t="s">
        <v>213</v>
      </c>
      <c r="E1438" s="1285"/>
      <c r="F1438" s="402">
        <f>F1439+F1467+F1471</f>
        <v>27937120</v>
      </c>
    </row>
    <row r="1439" spans="1:7" ht="17.100000000000001" customHeight="1">
      <c r="A1439" s="901"/>
      <c r="B1439" s="883"/>
      <c r="C1439" s="462"/>
      <c r="D1439" s="1453" t="s">
        <v>214</v>
      </c>
      <c r="E1439" s="1454"/>
      <c r="F1439" s="444">
        <f>F1440+F1447</f>
        <v>11365259</v>
      </c>
    </row>
    <row r="1440" spans="1:7" ht="17.100000000000001" customHeight="1">
      <c r="A1440" s="901"/>
      <c r="B1440" s="883"/>
      <c r="C1440" s="460"/>
      <c r="D1440" s="1455" t="s">
        <v>215</v>
      </c>
      <c r="E1440" s="1456"/>
      <c r="F1440" s="344">
        <f>SUM(F1441:F1445)</f>
        <v>9560756</v>
      </c>
    </row>
    <row r="1441" spans="1:6" ht="17.100000000000001" customHeight="1">
      <c r="A1441" s="901"/>
      <c r="B1441" s="883"/>
      <c r="C1441" s="462"/>
      <c r="D1441" s="352" t="s">
        <v>216</v>
      </c>
      <c r="E1441" s="356" t="s">
        <v>217</v>
      </c>
      <c r="F1441" s="417">
        <f>7671310-183885</f>
        <v>7487425</v>
      </c>
    </row>
    <row r="1442" spans="1:6" ht="17.100000000000001" customHeight="1">
      <c r="A1442" s="901"/>
      <c r="B1442" s="883"/>
      <c r="C1442" s="462"/>
      <c r="D1442" s="472" t="s">
        <v>218</v>
      </c>
      <c r="E1442" s="346" t="s">
        <v>219</v>
      </c>
      <c r="F1442" s="344">
        <f>522037</f>
        <v>522037</v>
      </c>
    </row>
    <row r="1443" spans="1:6" ht="17.100000000000001" customHeight="1">
      <c r="A1443" s="901"/>
      <c r="B1443" s="883"/>
      <c r="C1443" s="462"/>
      <c r="D1443" s="472" t="s">
        <v>220</v>
      </c>
      <c r="E1443" s="346" t="s">
        <v>221</v>
      </c>
      <c r="F1443" s="344">
        <f>1384365-31610</f>
        <v>1352755</v>
      </c>
    </row>
    <row r="1444" spans="1:6" ht="17.100000000000001" customHeight="1">
      <c r="A1444" s="901"/>
      <c r="B1444" s="883"/>
      <c r="C1444" s="462"/>
      <c r="D1444" s="472" t="s">
        <v>222</v>
      </c>
      <c r="E1444" s="346" t="s">
        <v>223</v>
      </c>
      <c r="F1444" s="344">
        <f>197304-4505</f>
        <v>192799</v>
      </c>
    </row>
    <row r="1445" spans="1:6" ht="17.100000000000001" customHeight="1">
      <c r="A1445" s="901"/>
      <c r="B1445" s="883"/>
      <c r="C1445" s="462"/>
      <c r="D1445" s="472" t="s">
        <v>224</v>
      </c>
      <c r="E1445" s="346" t="s">
        <v>225</v>
      </c>
      <c r="F1445" s="344">
        <f>5740</f>
        <v>5740</v>
      </c>
    </row>
    <row r="1446" spans="1:6" ht="17.100000000000001" customHeight="1">
      <c r="A1446" s="901"/>
      <c r="B1446" s="883"/>
      <c r="C1446" s="462"/>
      <c r="D1446" s="1267"/>
      <c r="E1446" s="1269"/>
      <c r="F1446" s="1270"/>
    </row>
    <row r="1447" spans="1:6" ht="17.100000000000001" customHeight="1">
      <c r="A1447" s="901"/>
      <c r="B1447" s="1267"/>
      <c r="C1447" s="1269"/>
      <c r="D1447" s="1457" t="s">
        <v>226</v>
      </c>
      <c r="E1447" s="1458"/>
      <c r="F1447" s="344">
        <f>SUM(F1448:F1465)</f>
        <v>1804503</v>
      </c>
    </row>
    <row r="1448" spans="1:6" ht="17.100000000000001" customHeight="1">
      <c r="A1448" s="901"/>
      <c r="B1448" s="883"/>
      <c r="C1448" s="460"/>
      <c r="D1448" s="472" t="s">
        <v>227</v>
      </c>
      <c r="E1448" s="346" t="s">
        <v>228</v>
      </c>
      <c r="F1448" s="344">
        <f>11247</f>
        <v>11247</v>
      </c>
    </row>
    <row r="1449" spans="1:6" ht="17.100000000000001" customHeight="1">
      <c r="A1449" s="901"/>
      <c r="B1449" s="883"/>
      <c r="C1449" s="460"/>
      <c r="D1449" s="472" t="s">
        <v>229</v>
      </c>
      <c r="E1449" s="346" t="s">
        <v>230</v>
      </c>
      <c r="F1449" s="344">
        <f>96675+140000-57000</f>
        <v>179675</v>
      </c>
    </row>
    <row r="1450" spans="1:6" ht="17.100000000000001" customHeight="1">
      <c r="A1450" s="901"/>
      <c r="B1450" s="883"/>
      <c r="C1450" s="460"/>
      <c r="D1450" s="472" t="s">
        <v>231</v>
      </c>
      <c r="E1450" s="346" t="s">
        <v>232</v>
      </c>
      <c r="F1450" s="344">
        <f>296150</f>
        <v>296150</v>
      </c>
    </row>
    <row r="1451" spans="1:6" ht="17.100000000000001" customHeight="1">
      <c r="A1451" s="901"/>
      <c r="B1451" s="883"/>
      <c r="C1451" s="460"/>
      <c r="D1451" s="472" t="s">
        <v>233</v>
      </c>
      <c r="E1451" s="346" t="s">
        <v>234</v>
      </c>
      <c r="F1451" s="344">
        <f>66250+15000-13000</f>
        <v>68250</v>
      </c>
    </row>
    <row r="1452" spans="1:6" ht="17.100000000000001" customHeight="1">
      <c r="A1452" s="901"/>
      <c r="B1452" s="883"/>
      <c r="C1452" s="460"/>
      <c r="D1452" s="472" t="s">
        <v>235</v>
      </c>
      <c r="E1452" s="346" t="s">
        <v>236</v>
      </c>
      <c r="F1452" s="344">
        <f>19622</f>
        <v>19622</v>
      </c>
    </row>
    <row r="1453" spans="1:6" ht="17.100000000000001" customHeight="1">
      <c r="A1453" s="901"/>
      <c r="B1453" s="883"/>
      <c r="C1453" s="460"/>
      <c r="D1453" s="472" t="s">
        <v>237</v>
      </c>
      <c r="E1453" s="346" t="s">
        <v>238</v>
      </c>
      <c r="F1453" s="344">
        <f>157410+135000</f>
        <v>292410</v>
      </c>
    </row>
    <row r="1454" spans="1:6" ht="17.100000000000001" customHeight="1">
      <c r="A1454" s="901"/>
      <c r="B1454" s="883"/>
      <c r="C1454" s="460"/>
      <c r="D1454" s="472" t="s">
        <v>239</v>
      </c>
      <c r="E1454" s="346" t="s">
        <v>240</v>
      </c>
      <c r="F1454" s="344">
        <f>14000</f>
        <v>14000</v>
      </c>
    </row>
    <row r="1455" spans="1:6" ht="24.75" customHeight="1">
      <c r="A1455" s="901"/>
      <c r="B1455" s="883"/>
      <c r="C1455" s="460"/>
      <c r="D1455" s="472" t="s">
        <v>241</v>
      </c>
      <c r="E1455" s="346" t="s">
        <v>242</v>
      </c>
      <c r="F1455" s="344">
        <f>16000</f>
        <v>16000</v>
      </c>
    </row>
    <row r="1456" spans="1:6" ht="26.25" customHeight="1">
      <c r="A1456" s="901"/>
      <c r="B1456" s="883"/>
      <c r="C1456" s="460"/>
      <c r="D1456" s="472" t="s">
        <v>243</v>
      </c>
      <c r="E1456" s="346" t="s">
        <v>244</v>
      </c>
      <c r="F1456" s="344">
        <f>22200</f>
        <v>22200</v>
      </c>
    </row>
    <row r="1457" spans="1:6" ht="17.100000000000001" customHeight="1">
      <c r="A1457" s="901"/>
      <c r="B1457" s="883"/>
      <c r="C1457" s="460"/>
      <c r="D1457" s="472" t="s">
        <v>247</v>
      </c>
      <c r="E1457" s="346" t="s">
        <v>248</v>
      </c>
      <c r="F1457" s="344">
        <f>266900</f>
        <v>266900</v>
      </c>
    </row>
    <row r="1458" spans="1:6" ht="17.100000000000001" customHeight="1">
      <c r="A1458" s="901"/>
      <c r="B1458" s="883"/>
      <c r="C1458" s="460"/>
      <c r="D1458" s="472" t="s">
        <v>249</v>
      </c>
      <c r="E1458" s="346" t="s">
        <v>250</v>
      </c>
      <c r="F1458" s="344">
        <f>28300</f>
        <v>28300</v>
      </c>
    </row>
    <row r="1459" spans="1:6" ht="17.100000000000001" hidden="1" customHeight="1">
      <c r="A1459" s="901"/>
      <c r="B1459" s="883"/>
      <c r="C1459" s="460"/>
      <c r="D1459" s="472" t="s">
        <v>311</v>
      </c>
      <c r="E1459" s="346" t="s">
        <v>312</v>
      </c>
      <c r="F1459" s="344"/>
    </row>
    <row r="1460" spans="1:6" ht="17.100000000000001" customHeight="1">
      <c r="A1460" s="901"/>
      <c r="B1460" s="883"/>
      <c r="C1460" s="460"/>
      <c r="D1460" s="472" t="s">
        <v>251</v>
      </c>
      <c r="E1460" s="346" t="s">
        <v>252</v>
      </c>
      <c r="F1460" s="344">
        <f>31230</f>
        <v>31230</v>
      </c>
    </row>
    <row r="1461" spans="1:6" ht="17.100000000000001" customHeight="1">
      <c r="A1461" s="901"/>
      <c r="B1461" s="883"/>
      <c r="C1461" s="460"/>
      <c r="D1461" s="472" t="s">
        <v>253</v>
      </c>
      <c r="E1461" s="346" t="s">
        <v>254</v>
      </c>
      <c r="F1461" s="344">
        <f>398296</f>
        <v>398296</v>
      </c>
    </row>
    <row r="1462" spans="1:6" ht="17.100000000000001" customHeight="1">
      <c r="A1462" s="901"/>
      <c r="B1462" s="883"/>
      <c r="C1462" s="460"/>
      <c r="D1462" s="472" t="s">
        <v>255</v>
      </c>
      <c r="E1462" s="346" t="s">
        <v>256</v>
      </c>
      <c r="F1462" s="344">
        <f>31850</f>
        <v>31850</v>
      </c>
    </row>
    <row r="1463" spans="1:6" ht="17.100000000000001" customHeight="1">
      <c r="A1463" s="901"/>
      <c r="B1463" s="883"/>
      <c r="C1463" s="460"/>
      <c r="D1463" s="472" t="s">
        <v>259</v>
      </c>
      <c r="E1463" s="346" t="s">
        <v>260</v>
      </c>
      <c r="F1463" s="344">
        <f>103300</f>
        <v>103300</v>
      </c>
    </row>
    <row r="1464" spans="1:6" ht="17.100000000000001" customHeight="1">
      <c r="A1464" s="901"/>
      <c r="B1464" s="883"/>
      <c r="C1464" s="460"/>
      <c r="D1464" s="472" t="s">
        <v>335</v>
      </c>
      <c r="E1464" s="346" t="s">
        <v>336</v>
      </c>
      <c r="F1464" s="344">
        <f>5000</f>
        <v>5000</v>
      </c>
    </row>
    <row r="1465" spans="1:6" ht="17.100000000000001" customHeight="1">
      <c r="A1465" s="901"/>
      <c r="B1465" s="883"/>
      <c r="C1465" s="460"/>
      <c r="D1465" s="472" t="s">
        <v>261</v>
      </c>
      <c r="E1465" s="346" t="s">
        <v>262</v>
      </c>
      <c r="F1465" s="344">
        <f>20073</f>
        <v>20073</v>
      </c>
    </row>
    <row r="1466" spans="1:6" ht="17.100000000000001" customHeight="1">
      <c r="A1466" s="901"/>
      <c r="B1466" s="883"/>
      <c r="C1466" s="460"/>
      <c r="D1466" s="1446"/>
      <c r="E1466" s="1447"/>
      <c r="F1466" s="1448"/>
    </row>
    <row r="1467" spans="1:6" ht="17.100000000000001" customHeight="1">
      <c r="A1467" s="901"/>
      <c r="B1467" s="883"/>
      <c r="C1467" s="460"/>
      <c r="D1467" s="1449" t="s">
        <v>263</v>
      </c>
      <c r="E1467" s="1450"/>
      <c r="F1467" s="344">
        <f>F1468+F1469</f>
        <v>24350</v>
      </c>
    </row>
    <row r="1468" spans="1:6" ht="17.100000000000001" customHeight="1">
      <c r="A1468" s="901"/>
      <c r="B1468" s="883"/>
      <c r="C1468" s="460"/>
      <c r="D1468" s="353" t="s">
        <v>264</v>
      </c>
      <c r="E1468" s="354" t="s">
        <v>265</v>
      </c>
      <c r="F1468" s="444">
        <f>24100</f>
        <v>24100</v>
      </c>
    </row>
    <row r="1469" spans="1:6" ht="17.100000000000001" customHeight="1">
      <c r="A1469" s="901"/>
      <c r="B1469" s="883"/>
      <c r="C1469" s="460"/>
      <c r="D1469" s="351" t="s">
        <v>436</v>
      </c>
      <c r="E1469" s="476" t="s">
        <v>468</v>
      </c>
      <c r="F1469" s="344">
        <f>250</f>
        <v>250</v>
      </c>
    </row>
    <row r="1470" spans="1:6" ht="17.100000000000001" customHeight="1">
      <c r="A1470" s="901"/>
      <c r="B1470" s="883"/>
      <c r="C1470" s="460"/>
      <c r="D1470" s="1446"/>
      <c r="E1470" s="1447"/>
      <c r="F1470" s="1448"/>
    </row>
    <row r="1471" spans="1:6" ht="17.100000000000001" customHeight="1">
      <c r="A1471" s="901"/>
      <c r="B1471" s="883"/>
      <c r="C1471" s="460"/>
      <c r="D1471" s="1451" t="s">
        <v>343</v>
      </c>
      <c r="E1471" s="1452"/>
      <c r="F1471" s="344">
        <f>SUM(F1472:F1509)</f>
        <v>16547511</v>
      </c>
    </row>
    <row r="1472" spans="1:6" ht="42.75" hidden="1" customHeight="1">
      <c r="A1472" s="901"/>
      <c r="B1472" s="883"/>
      <c r="C1472" s="460"/>
      <c r="D1472" s="472" t="s">
        <v>614</v>
      </c>
      <c r="E1472" s="346" t="s">
        <v>349</v>
      </c>
      <c r="F1472" s="344"/>
    </row>
    <row r="1473" spans="1:6" ht="39.75" hidden="1" customHeight="1">
      <c r="A1473" s="901"/>
      <c r="B1473" s="883"/>
      <c r="C1473" s="460"/>
      <c r="D1473" s="472" t="s">
        <v>348</v>
      </c>
      <c r="E1473" s="346" t="s">
        <v>349</v>
      </c>
      <c r="F1473" s="344"/>
    </row>
    <row r="1474" spans="1:6" ht="17.100000000000001" customHeight="1">
      <c r="A1474" s="901"/>
      <c r="B1474" s="1267"/>
      <c r="C1474" s="1269"/>
      <c r="D1474" s="351" t="s">
        <v>291</v>
      </c>
      <c r="E1474" s="461" t="s">
        <v>217</v>
      </c>
      <c r="F1474" s="344">
        <f>774899+8319734</f>
        <v>9094633</v>
      </c>
    </row>
    <row r="1475" spans="1:6" ht="17.100000000000001" customHeight="1">
      <c r="A1475" s="901"/>
      <c r="B1475" s="1267"/>
      <c r="C1475" s="1268"/>
      <c r="D1475" s="352" t="s">
        <v>292</v>
      </c>
      <c r="E1475" s="346" t="s">
        <v>217</v>
      </c>
      <c r="F1475" s="344">
        <f>136747+1468188</f>
        <v>1604935</v>
      </c>
    </row>
    <row r="1476" spans="1:6" ht="17.100000000000001" customHeight="1">
      <c r="A1476" s="901"/>
      <c r="B1476" s="1267"/>
      <c r="C1476" s="1268"/>
      <c r="D1476" s="472" t="s">
        <v>293</v>
      </c>
      <c r="E1476" s="346" t="s">
        <v>219</v>
      </c>
      <c r="F1476" s="344">
        <f>617610</f>
        <v>617610</v>
      </c>
    </row>
    <row r="1477" spans="1:6" ht="17.100000000000001" customHeight="1">
      <c r="A1477" s="901"/>
      <c r="B1477" s="1267"/>
      <c r="C1477" s="1268"/>
      <c r="D1477" s="472" t="s">
        <v>294</v>
      </c>
      <c r="E1477" s="346" t="s">
        <v>219</v>
      </c>
      <c r="F1477" s="344">
        <f>108990</f>
        <v>108990</v>
      </c>
    </row>
    <row r="1478" spans="1:6" ht="17.100000000000001" customHeight="1">
      <c r="A1478" s="901"/>
      <c r="B1478" s="1267"/>
      <c r="C1478" s="1268"/>
      <c r="D1478" s="472" t="s">
        <v>295</v>
      </c>
      <c r="E1478" s="346" t="s">
        <v>221</v>
      </c>
      <c r="F1478" s="344">
        <f>133205+1536329</f>
        <v>1669534</v>
      </c>
    </row>
    <row r="1479" spans="1:6" ht="17.100000000000001" customHeight="1">
      <c r="A1479" s="901"/>
      <c r="B1479" s="1267"/>
      <c r="C1479" s="1268"/>
      <c r="D1479" s="472" t="s">
        <v>296</v>
      </c>
      <c r="E1479" s="346" t="s">
        <v>221</v>
      </c>
      <c r="F1479" s="344">
        <f>23507+271117</f>
        <v>294624</v>
      </c>
    </row>
    <row r="1480" spans="1:6" ht="17.100000000000001" customHeight="1">
      <c r="A1480" s="901"/>
      <c r="B1480" s="1267"/>
      <c r="C1480" s="1268"/>
      <c r="D1480" s="472" t="s">
        <v>297</v>
      </c>
      <c r="E1480" s="346" t="s">
        <v>223</v>
      </c>
      <c r="F1480" s="344">
        <f>18982+218944</f>
        <v>237926</v>
      </c>
    </row>
    <row r="1481" spans="1:6" ht="17.100000000000001" customHeight="1">
      <c r="A1481" s="901"/>
      <c r="B1481" s="1267"/>
      <c r="C1481" s="1268"/>
      <c r="D1481" s="472" t="s">
        <v>298</v>
      </c>
      <c r="E1481" s="346" t="s">
        <v>223</v>
      </c>
      <c r="F1481" s="344">
        <f>3350+38638</f>
        <v>41988</v>
      </c>
    </row>
    <row r="1482" spans="1:6" ht="17.100000000000001" customHeight="1">
      <c r="A1482" s="901"/>
      <c r="B1482" s="1267"/>
      <c r="C1482" s="1268"/>
      <c r="D1482" s="472" t="s">
        <v>299</v>
      </c>
      <c r="E1482" s="346" t="s">
        <v>225</v>
      </c>
      <c r="F1482" s="344">
        <f>3591+34000</f>
        <v>37591</v>
      </c>
    </row>
    <row r="1483" spans="1:6" ht="17.100000000000001" customHeight="1">
      <c r="A1483" s="901"/>
      <c r="B1483" s="1267"/>
      <c r="C1483" s="1268"/>
      <c r="D1483" s="472" t="s">
        <v>300</v>
      </c>
      <c r="E1483" s="346" t="s">
        <v>225</v>
      </c>
      <c r="F1483" s="344">
        <f>634+6000</f>
        <v>6634</v>
      </c>
    </row>
    <row r="1484" spans="1:6" ht="17.100000000000001" customHeight="1">
      <c r="A1484" s="901"/>
      <c r="B1484" s="1267"/>
      <c r="C1484" s="1268"/>
      <c r="D1484" s="472" t="s">
        <v>301</v>
      </c>
      <c r="E1484" s="346" t="s">
        <v>230</v>
      </c>
      <c r="F1484" s="344">
        <f>59522+842095</f>
        <v>901617</v>
      </c>
    </row>
    <row r="1485" spans="1:6" ht="17.100000000000001" customHeight="1">
      <c r="A1485" s="901"/>
      <c r="B1485" s="1267"/>
      <c r="C1485" s="1268"/>
      <c r="D1485" s="472" t="s">
        <v>302</v>
      </c>
      <c r="E1485" s="346" t="s">
        <v>230</v>
      </c>
      <c r="F1485" s="344">
        <f>10504+148605</f>
        <v>159109</v>
      </c>
    </row>
    <row r="1486" spans="1:6" ht="17.100000000000001" customHeight="1">
      <c r="A1486" s="901"/>
      <c r="B1486" s="1267"/>
      <c r="C1486" s="1268"/>
      <c r="D1486" s="472" t="s">
        <v>445</v>
      </c>
      <c r="E1486" s="346" t="s">
        <v>232</v>
      </c>
      <c r="F1486" s="344">
        <f>120020</f>
        <v>120020</v>
      </c>
    </row>
    <row r="1487" spans="1:6" ht="17.100000000000001" customHeight="1">
      <c r="A1487" s="901"/>
      <c r="B1487" s="1267"/>
      <c r="C1487" s="1268"/>
      <c r="D1487" s="472" t="s">
        <v>425</v>
      </c>
      <c r="E1487" s="346" t="s">
        <v>232</v>
      </c>
      <c r="F1487" s="344">
        <f>21180</f>
        <v>21180</v>
      </c>
    </row>
    <row r="1488" spans="1:6" ht="17.100000000000001" customHeight="1">
      <c r="A1488" s="901"/>
      <c r="B1488" s="1267"/>
      <c r="C1488" s="1268"/>
      <c r="D1488" s="472" t="s">
        <v>615</v>
      </c>
      <c r="E1488" s="346" t="s">
        <v>234</v>
      </c>
      <c r="F1488" s="344">
        <f>8500</f>
        <v>8500</v>
      </c>
    </row>
    <row r="1489" spans="1:6" ht="17.100000000000001" customHeight="1">
      <c r="A1489" s="901"/>
      <c r="B1489" s="1267"/>
      <c r="C1489" s="1268"/>
      <c r="D1489" s="472" t="s">
        <v>616</v>
      </c>
      <c r="E1489" s="346" t="s">
        <v>234</v>
      </c>
      <c r="F1489" s="344">
        <f>1500</f>
        <v>1500</v>
      </c>
    </row>
    <row r="1490" spans="1:6" ht="17.100000000000001" customHeight="1">
      <c r="A1490" s="901"/>
      <c r="B1490" s="1267"/>
      <c r="C1490" s="1268"/>
      <c r="D1490" s="472" t="s">
        <v>303</v>
      </c>
      <c r="E1490" s="346" t="s">
        <v>238</v>
      </c>
      <c r="F1490" s="344">
        <f>105451+355793</f>
        <v>461244</v>
      </c>
    </row>
    <row r="1491" spans="1:6" ht="17.100000000000001" customHeight="1">
      <c r="A1491" s="901"/>
      <c r="B1491" s="1267"/>
      <c r="C1491" s="1268"/>
      <c r="D1491" s="472" t="s">
        <v>304</v>
      </c>
      <c r="E1491" s="346" t="s">
        <v>238</v>
      </c>
      <c r="F1491" s="344">
        <f>18609+62787</f>
        <v>81396</v>
      </c>
    </row>
    <row r="1492" spans="1:6" ht="17.100000000000001" customHeight="1">
      <c r="A1492" s="901"/>
      <c r="B1492" s="1267"/>
      <c r="C1492" s="1268"/>
      <c r="D1492" s="472" t="s">
        <v>305</v>
      </c>
      <c r="E1492" s="346" t="s">
        <v>240</v>
      </c>
      <c r="F1492" s="344">
        <f>23800</f>
        <v>23800</v>
      </c>
    </row>
    <row r="1493" spans="1:6" ht="17.100000000000001" customHeight="1">
      <c r="A1493" s="901"/>
      <c r="B1493" s="1267"/>
      <c r="C1493" s="1268"/>
      <c r="D1493" s="472" t="s">
        <v>306</v>
      </c>
      <c r="E1493" s="346" t="s">
        <v>240</v>
      </c>
      <c r="F1493" s="344">
        <f>4200</f>
        <v>4200</v>
      </c>
    </row>
    <row r="1494" spans="1:6" ht="26.25" customHeight="1">
      <c r="A1494" s="901"/>
      <c r="B1494" s="1267"/>
      <c r="C1494" s="1268"/>
      <c r="D1494" s="472" t="s">
        <v>307</v>
      </c>
      <c r="E1494" s="346" t="s">
        <v>242</v>
      </c>
      <c r="F1494" s="344">
        <f>8925</f>
        <v>8925</v>
      </c>
    </row>
    <row r="1495" spans="1:6" ht="27.75" customHeight="1">
      <c r="A1495" s="901"/>
      <c r="B1495" s="1267"/>
      <c r="C1495" s="1268"/>
      <c r="D1495" s="472" t="s">
        <v>308</v>
      </c>
      <c r="E1495" s="346" t="s">
        <v>242</v>
      </c>
      <c r="F1495" s="344">
        <f>1575</f>
        <v>1575</v>
      </c>
    </row>
    <row r="1496" spans="1:6" ht="25.5" customHeight="1">
      <c r="A1496" s="901"/>
      <c r="B1496" s="1267"/>
      <c r="C1496" s="1268"/>
      <c r="D1496" s="472" t="s">
        <v>446</v>
      </c>
      <c r="E1496" s="346" t="s">
        <v>244</v>
      </c>
      <c r="F1496" s="344">
        <f>8500</f>
        <v>8500</v>
      </c>
    </row>
    <row r="1497" spans="1:6" ht="27.75" customHeight="1">
      <c r="A1497" s="901"/>
      <c r="B1497" s="1267"/>
      <c r="C1497" s="1268"/>
      <c r="D1497" s="472" t="s">
        <v>447</v>
      </c>
      <c r="E1497" s="346" t="s">
        <v>244</v>
      </c>
      <c r="F1497" s="347">
        <f>1500</f>
        <v>1500</v>
      </c>
    </row>
    <row r="1498" spans="1:6" ht="17.100000000000001" customHeight="1">
      <c r="A1498" s="901"/>
      <c r="B1498" s="1267"/>
      <c r="C1498" s="1268"/>
      <c r="D1498" s="472" t="s">
        <v>450</v>
      </c>
      <c r="E1498" s="346" t="s">
        <v>246</v>
      </c>
      <c r="F1498" s="347">
        <f>102000</f>
        <v>102000</v>
      </c>
    </row>
    <row r="1499" spans="1:6" ht="17.100000000000001" customHeight="1">
      <c r="A1499" s="901"/>
      <c r="B1499" s="1267"/>
      <c r="C1499" s="1268"/>
      <c r="D1499" s="472" t="s">
        <v>368</v>
      </c>
      <c r="E1499" s="346" t="s">
        <v>246</v>
      </c>
      <c r="F1499" s="347">
        <f>18000</f>
        <v>18000</v>
      </c>
    </row>
    <row r="1500" spans="1:6" ht="23.25" customHeight="1">
      <c r="A1500" s="901"/>
      <c r="B1500" s="1267"/>
      <c r="C1500" s="1268"/>
      <c r="D1500" s="472" t="s">
        <v>451</v>
      </c>
      <c r="E1500" s="346" t="s">
        <v>248</v>
      </c>
      <c r="F1500" s="347">
        <f>568650</f>
        <v>568650</v>
      </c>
    </row>
    <row r="1501" spans="1:6" ht="26.25" customHeight="1">
      <c r="A1501" s="901"/>
      <c r="B1501" s="1267"/>
      <c r="C1501" s="1268"/>
      <c r="D1501" s="472" t="s">
        <v>452</v>
      </c>
      <c r="E1501" s="346" t="s">
        <v>248</v>
      </c>
      <c r="F1501" s="347">
        <f>100350</f>
        <v>100350</v>
      </c>
    </row>
    <row r="1502" spans="1:6" ht="17.100000000000001" customHeight="1">
      <c r="A1502" s="901"/>
      <c r="B1502" s="1267"/>
      <c r="C1502" s="1268"/>
      <c r="D1502" s="472" t="s">
        <v>309</v>
      </c>
      <c r="E1502" s="346" t="s">
        <v>250</v>
      </c>
      <c r="F1502" s="347">
        <f>44455</f>
        <v>44455</v>
      </c>
    </row>
    <row r="1503" spans="1:6" ht="17.100000000000001" customHeight="1">
      <c r="A1503" s="901"/>
      <c r="B1503" s="1267"/>
      <c r="C1503" s="1268"/>
      <c r="D1503" s="472" t="s">
        <v>310</v>
      </c>
      <c r="E1503" s="346" t="s">
        <v>250</v>
      </c>
      <c r="F1503" s="347">
        <f>7845</f>
        <v>7845</v>
      </c>
    </row>
    <row r="1504" spans="1:6" ht="17.100000000000001" hidden="1" customHeight="1">
      <c r="A1504" s="901"/>
      <c r="B1504" s="1267"/>
      <c r="C1504" s="1268"/>
      <c r="D1504" s="472" t="s">
        <v>313</v>
      </c>
      <c r="E1504" s="346" t="s">
        <v>312</v>
      </c>
      <c r="F1504" s="347"/>
    </row>
    <row r="1505" spans="1:6" ht="17.100000000000001" hidden="1" customHeight="1">
      <c r="A1505" s="901"/>
      <c r="B1505" s="1267"/>
      <c r="C1505" s="1268"/>
      <c r="D1505" s="472" t="s">
        <v>314</v>
      </c>
      <c r="E1505" s="346" t="s">
        <v>312</v>
      </c>
      <c r="F1505" s="347"/>
    </row>
    <row r="1506" spans="1:6" ht="17.100000000000001" customHeight="1">
      <c r="A1506" s="901"/>
      <c r="B1506" s="883"/>
      <c r="C1506" s="462"/>
      <c r="D1506" s="472" t="s">
        <v>453</v>
      </c>
      <c r="E1506" s="346" t="s">
        <v>260</v>
      </c>
      <c r="F1506" s="347">
        <f>4080</f>
        <v>4080</v>
      </c>
    </row>
    <row r="1507" spans="1:6" ht="17.100000000000001" customHeight="1">
      <c r="A1507" s="901"/>
      <c r="B1507" s="883"/>
      <c r="C1507" s="462"/>
      <c r="D1507" s="472" t="s">
        <v>454</v>
      </c>
      <c r="E1507" s="346" t="s">
        <v>260</v>
      </c>
      <c r="F1507" s="347">
        <f>720</f>
        <v>720</v>
      </c>
    </row>
    <row r="1508" spans="1:6" ht="17.100000000000001" customHeight="1">
      <c r="A1508" s="901"/>
      <c r="B1508" s="1267"/>
      <c r="C1508" s="1268"/>
      <c r="D1508" s="472" t="s">
        <v>317</v>
      </c>
      <c r="E1508" s="346" t="s">
        <v>262</v>
      </c>
      <c r="F1508" s="347">
        <f>143633+12665</f>
        <v>156298</v>
      </c>
    </row>
    <row r="1509" spans="1:6" ht="17.100000000000001" customHeight="1">
      <c r="A1509" s="901"/>
      <c r="B1509" s="1267"/>
      <c r="C1509" s="1268"/>
      <c r="D1509" s="472" t="s">
        <v>318</v>
      </c>
      <c r="E1509" s="346" t="s">
        <v>262</v>
      </c>
      <c r="F1509" s="347">
        <f>25347+2235</f>
        <v>27582</v>
      </c>
    </row>
    <row r="1510" spans="1:6" ht="17.100000000000001" customHeight="1">
      <c r="A1510" s="901"/>
      <c r="B1510" s="883"/>
      <c r="C1510" s="462"/>
      <c r="D1510" s="1267"/>
      <c r="E1510" s="1269"/>
      <c r="F1510" s="1270"/>
    </row>
    <row r="1511" spans="1:6" ht="17.100000000000001" customHeight="1">
      <c r="A1511" s="901"/>
      <c r="B1511" s="883"/>
      <c r="C1511" s="462"/>
      <c r="D1511" s="1296" t="s">
        <v>281</v>
      </c>
      <c r="E1511" s="1297"/>
      <c r="F1511" s="343">
        <f>F1512</f>
        <v>8296694</v>
      </c>
    </row>
    <row r="1512" spans="1:6" ht="17.100000000000001" customHeight="1">
      <c r="A1512" s="901"/>
      <c r="B1512" s="883"/>
      <c r="C1512" s="462"/>
      <c r="D1512" s="1290" t="s">
        <v>904</v>
      </c>
      <c r="E1512" s="1291"/>
      <c r="F1512" s="347">
        <f>SUM(F1513:F1518)</f>
        <v>8296694</v>
      </c>
    </row>
    <row r="1513" spans="1:6" ht="17.100000000000001" customHeight="1">
      <c r="A1513" s="901"/>
      <c r="B1513" s="1267"/>
      <c r="C1513" s="1268"/>
      <c r="D1513" s="472" t="s">
        <v>268</v>
      </c>
      <c r="E1513" s="346" t="s">
        <v>269</v>
      </c>
      <c r="F1513" s="347">
        <f>500000</f>
        <v>500000</v>
      </c>
    </row>
    <row r="1514" spans="1:6" ht="17.100000000000001" customHeight="1">
      <c r="A1514" s="901"/>
      <c r="B1514" s="883"/>
      <c r="C1514" s="462"/>
      <c r="D1514" s="472" t="s">
        <v>617</v>
      </c>
      <c r="E1514" s="346" t="s">
        <v>269</v>
      </c>
      <c r="F1514" s="347">
        <f>6464250</f>
        <v>6464250</v>
      </c>
    </row>
    <row r="1515" spans="1:6" ht="17.100000000000001" customHeight="1">
      <c r="A1515" s="901"/>
      <c r="B1515" s="883"/>
      <c r="C1515" s="462"/>
      <c r="D1515" s="472" t="s">
        <v>283</v>
      </c>
      <c r="E1515" s="346" t="s">
        <v>269</v>
      </c>
      <c r="F1515" s="347">
        <f>1140750</f>
        <v>1140750</v>
      </c>
    </row>
    <row r="1516" spans="1:6" ht="17.100000000000001" customHeight="1">
      <c r="A1516" s="901"/>
      <c r="B1516" s="883"/>
      <c r="C1516" s="462"/>
      <c r="D1516" s="472" t="s">
        <v>270</v>
      </c>
      <c r="E1516" s="346" t="s">
        <v>271</v>
      </c>
      <c r="F1516" s="347">
        <f>91706</f>
        <v>91706</v>
      </c>
    </row>
    <row r="1517" spans="1:6" ht="17.100000000000001" customHeight="1">
      <c r="A1517" s="901"/>
      <c r="B1517" s="883"/>
      <c r="C1517" s="462"/>
      <c r="D1517" s="472" t="s">
        <v>319</v>
      </c>
      <c r="E1517" s="346" t="s">
        <v>271</v>
      </c>
      <c r="F1517" s="347">
        <f>43090+41900</f>
        <v>84990</v>
      </c>
    </row>
    <row r="1518" spans="1:6" ht="17.100000000000001" customHeight="1">
      <c r="A1518" s="901"/>
      <c r="B1518" s="883"/>
      <c r="C1518" s="462"/>
      <c r="D1518" s="472" t="s">
        <v>320</v>
      </c>
      <c r="E1518" s="346" t="s">
        <v>271</v>
      </c>
      <c r="F1518" s="347">
        <f>7604+7394</f>
        <v>14998</v>
      </c>
    </row>
    <row r="1519" spans="1:6" ht="17.100000000000001" customHeight="1">
      <c r="A1519" s="901"/>
      <c r="B1519" s="883"/>
      <c r="C1519" s="462"/>
      <c r="D1519" s="1267"/>
      <c r="E1519" s="1323"/>
      <c r="F1519" s="1324"/>
    </row>
    <row r="1520" spans="1:6" ht="17.100000000000001" customHeight="1">
      <c r="A1520" s="901"/>
      <c r="B1520" s="883"/>
      <c r="C1520" s="462"/>
      <c r="D1520" s="1292" t="s">
        <v>284</v>
      </c>
      <c r="E1520" s="1307"/>
      <c r="F1520" s="347">
        <f>F1521+F1522+F1523+F1524</f>
        <v>7704988</v>
      </c>
    </row>
    <row r="1521" spans="1:6" ht="17.100000000000001" customHeight="1">
      <c r="A1521" s="901"/>
      <c r="B1521" s="883"/>
      <c r="C1521" s="462"/>
      <c r="D1521" s="473" t="s">
        <v>617</v>
      </c>
      <c r="E1521" s="361" t="s">
        <v>269</v>
      </c>
      <c r="F1521" s="347">
        <f>6464250</f>
        <v>6464250</v>
      </c>
    </row>
    <row r="1522" spans="1:6" ht="17.100000000000001" customHeight="1">
      <c r="A1522" s="901"/>
      <c r="B1522" s="883"/>
      <c r="C1522" s="462"/>
      <c r="D1522" s="473" t="s">
        <v>283</v>
      </c>
      <c r="E1522" s="362" t="s">
        <v>269</v>
      </c>
      <c r="F1522" s="347">
        <f>1140750</f>
        <v>1140750</v>
      </c>
    </row>
    <row r="1523" spans="1:6" ht="17.100000000000001" customHeight="1">
      <c r="A1523" s="901"/>
      <c r="B1523" s="883"/>
      <c r="C1523" s="462"/>
      <c r="D1523" s="473" t="s">
        <v>319</v>
      </c>
      <c r="E1523" s="362" t="s">
        <v>271</v>
      </c>
      <c r="F1523" s="347">
        <f>43090+41900</f>
        <v>84990</v>
      </c>
    </row>
    <row r="1524" spans="1:6" ht="17.100000000000001" customHeight="1">
      <c r="A1524" s="901"/>
      <c r="B1524" s="883"/>
      <c r="C1524" s="462"/>
      <c r="D1524" s="472" t="s">
        <v>320</v>
      </c>
      <c r="E1524" s="346" t="s">
        <v>271</v>
      </c>
      <c r="F1524" s="347">
        <f>7604+7394</f>
        <v>14998</v>
      </c>
    </row>
    <row r="1525" spans="1:6" ht="17.100000000000001" customHeight="1">
      <c r="A1525" s="901"/>
      <c r="B1525" s="1278" t="s">
        <v>618</v>
      </c>
      <c r="C1525" s="1279"/>
      <c r="D1525" s="340"/>
      <c r="E1525" s="341" t="s">
        <v>332</v>
      </c>
      <c r="F1525" s="342">
        <f>F1526</f>
        <v>2286637</v>
      </c>
    </row>
    <row r="1526" spans="1:6" ht="17.100000000000001" customHeight="1">
      <c r="A1526" s="901"/>
      <c r="B1526" s="1280"/>
      <c r="C1526" s="1281"/>
      <c r="D1526" s="1284" t="s">
        <v>213</v>
      </c>
      <c r="E1526" s="1285"/>
      <c r="F1526" s="343">
        <f>F1527+F1530</f>
        <v>2286637</v>
      </c>
    </row>
    <row r="1527" spans="1:6" ht="17.100000000000001" customHeight="1">
      <c r="A1527" s="901"/>
      <c r="B1527" s="1282"/>
      <c r="C1527" s="1283"/>
      <c r="D1527" s="1286" t="s">
        <v>286</v>
      </c>
      <c r="E1527" s="1294"/>
      <c r="F1527" s="347">
        <f>F1528</f>
        <v>1744012</v>
      </c>
    </row>
    <row r="1528" spans="1:6" ht="39" customHeight="1">
      <c r="A1528" s="901"/>
      <c r="B1528" s="1282"/>
      <c r="C1528" s="1283"/>
      <c r="D1528" s="472" t="s">
        <v>348</v>
      </c>
      <c r="E1528" s="346" t="s">
        <v>349</v>
      </c>
      <c r="F1528" s="347">
        <f>1744012</f>
        <v>1744012</v>
      </c>
    </row>
    <row r="1529" spans="1:6" ht="17.100000000000001" customHeight="1">
      <c r="A1529" s="901"/>
      <c r="B1529" s="1282"/>
      <c r="C1529" s="1283"/>
      <c r="D1529" s="1267"/>
      <c r="E1529" s="1269"/>
      <c r="F1529" s="1270"/>
    </row>
    <row r="1530" spans="1:6" ht="17.100000000000001" customHeight="1">
      <c r="A1530" s="901"/>
      <c r="B1530" s="1282"/>
      <c r="C1530" s="1283"/>
      <c r="D1530" s="1286" t="s">
        <v>343</v>
      </c>
      <c r="E1530" s="1294"/>
      <c r="F1530" s="347">
        <f>SUM(F1531:F1568)</f>
        <v>542625</v>
      </c>
    </row>
    <row r="1531" spans="1:6" ht="17.100000000000001" customHeight="1">
      <c r="A1531" s="901"/>
      <c r="B1531" s="1267"/>
      <c r="C1531" s="1268"/>
      <c r="D1531" s="472" t="s">
        <v>523</v>
      </c>
      <c r="E1531" s="346" t="s">
        <v>265</v>
      </c>
      <c r="F1531" s="347">
        <f>594</f>
        <v>594</v>
      </c>
    </row>
    <row r="1532" spans="1:6" ht="17.100000000000001" customHeight="1">
      <c r="A1532" s="901"/>
      <c r="B1532" s="1267"/>
      <c r="C1532" s="1268"/>
      <c r="D1532" s="472" t="s">
        <v>524</v>
      </c>
      <c r="E1532" s="346" t="s">
        <v>265</v>
      </c>
      <c r="F1532" s="347">
        <f>104</f>
        <v>104</v>
      </c>
    </row>
    <row r="1533" spans="1:6" ht="17.100000000000001" customHeight="1">
      <c r="A1533" s="901"/>
      <c r="B1533" s="1267"/>
      <c r="C1533" s="1268"/>
      <c r="D1533" s="472" t="s">
        <v>362</v>
      </c>
      <c r="E1533" s="346" t="s">
        <v>217</v>
      </c>
      <c r="F1533" s="347">
        <f>149073</f>
        <v>149073</v>
      </c>
    </row>
    <row r="1534" spans="1:6" ht="17.100000000000001" customHeight="1">
      <c r="A1534" s="901"/>
      <c r="B1534" s="1267"/>
      <c r="C1534" s="1268"/>
      <c r="D1534" s="472" t="s">
        <v>292</v>
      </c>
      <c r="E1534" s="346" t="s">
        <v>217</v>
      </c>
      <c r="F1534" s="347">
        <f>26306</f>
        <v>26306</v>
      </c>
    </row>
    <row r="1535" spans="1:6" ht="17.100000000000001" customHeight="1">
      <c r="A1535" s="901"/>
      <c r="B1535" s="1267"/>
      <c r="C1535" s="1268"/>
      <c r="D1535" s="472" t="s">
        <v>423</v>
      </c>
      <c r="E1535" s="346" t="s">
        <v>219</v>
      </c>
      <c r="F1535" s="347">
        <f>22428</f>
        <v>22428</v>
      </c>
    </row>
    <row r="1536" spans="1:6" ht="17.100000000000001" customHeight="1">
      <c r="A1536" s="901"/>
      <c r="B1536" s="1267"/>
      <c r="C1536" s="1268"/>
      <c r="D1536" s="472" t="s">
        <v>294</v>
      </c>
      <c r="E1536" s="346" t="s">
        <v>219</v>
      </c>
      <c r="F1536" s="347">
        <f>3958</f>
        <v>3958</v>
      </c>
    </row>
    <row r="1537" spans="1:6" ht="17.100000000000001" customHeight="1">
      <c r="A1537" s="901"/>
      <c r="B1537" s="1267"/>
      <c r="C1537" s="1268"/>
      <c r="D1537" s="472" t="s">
        <v>363</v>
      </c>
      <c r="E1537" s="346" t="s">
        <v>221</v>
      </c>
      <c r="F1537" s="347">
        <f>29482</f>
        <v>29482</v>
      </c>
    </row>
    <row r="1538" spans="1:6" ht="17.100000000000001" customHeight="1">
      <c r="A1538" s="901"/>
      <c r="B1538" s="1267"/>
      <c r="C1538" s="1268"/>
      <c r="D1538" s="472" t="s">
        <v>296</v>
      </c>
      <c r="E1538" s="346" t="s">
        <v>221</v>
      </c>
      <c r="F1538" s="347">
        <f>5203</f>
        <v>5203</v>
      </c>
    </row>
    <row r="1539" spans="1:6" ht="17.100000000000001" customHeight="1">
      <c r="A1539" s="901"/>
      <c r="B1539" s="1267"/>
      <c r="C1539" s="1268"/>
      <c r="D1539" s="472" t="s">
        <v>364</v>
      </c>
      <c r="E1539" s="346" t="s">
        <v>223</v>
      </c>
      <c r="F1539" s="347">
        <f>4205</f>
        <v>4205</v>
      </c>
    </row>
    <row r="1540" spans="1:6" ht="17.100000000000001" customHeight="1">
      <c r="A1540" s="901"/>
      <c r="B1540" s="1267"/>
      <c r="C1540" s="1268"/>
      <c r="D1540" s="472" t="s">
        <v>298</v>
      </c>
      <c r="E1540" s="346" t="s">
        <v>223</v>
      </c>
      <c r="F1540" s="347">
        <f>740</f>
        <v>740</v>
      </c>
    </row>
    <row r="1541" spans="1:6" ht="17.100000000000001" customHeight="1">
      <c r="A1541" s="901"/>
      <c r="B1541" s="1267"/>
      <c r="C1541" s="1268"/>
      <c r="D1541" s="472" t="s">
        <v>460</v>
      </c>
      <c r="E1541" s="346" t="s">
        <v>225</v>
      </c>
      <c r="F1541" s="347">
        <f>1700</f>
        <v>1700</v>
      </c>
    </row>
    <row r="1542" spans="1:6" ht="17.100000000000001" customHeight="1">
      <c r="A1542" s="901"/>
      <c r="B1542" s="1267"/>
      <c r="C1542" s="1268"/>
      <c r="D1542" s="472" t="s">
        <v>300</v>
      </c>
      <c r="E1542" s="346" t="s">
        <v>225</v>
      </c>
      <c r="F1542" s="347">
        <f>300</f>
        <v>300</v>
      </c>
    </row>
    <row r="1543" spans="1:6" ht="17.100000000000001" customHeight="1">
      <c r="A1543" s="901"/>
      <c r="B1543" s="1267"/>
      <c r="C1543" s="1268"/>
      <c r="D1543" s="472" t="s">
        <v>365</v>
      </c>
      <c r="E1543" s="346" t="s">
        <v>230</v>
      </c>
      <c r="F1543" s="347">
        <f>42033</f>
        <v>42033</v>
      </c>
    </row>
    <row r="1544" spans="1:6" ht="17.100000000000001" customHeight="1">
      <c r="A1544" s="901"/>
      <c r="B1544" s="1267"/>
      <c r="C1544" s="1268"/>
      <c r="D1544" s="472" t="s">
        <v>302</v>
      </c>
      <c r="E1544" s="346" t="s">
        <v>230</v>
      </c>
      <c r="F1544" s="347">
        <f>7419</f>
        <v>7419</v>
      </c>
    </row>
    <row r="1545" spans="1:6" ht="17.100000000000001" customHeight="1">
      <c r="A1545" s="901"/>
      <c r="B1545" s="1267"/>
      <c r="C1545" s="1268"/>
      <c r="D1545" s="472" t="s">
        <v>424</v>
      </c>
      <c r="E1545" s="346" t="s">
        <v>232</v>
      </c>
      <c r="F1545" s="347">
        <f>4437</f>
        <v>4437</v>
      </c>
    </row>
    <row r="1546" spans="1:6" ht="17.100000000000001" customHeight="1">
      <c r="A1546" s="901"/>
      <c r="B1546" s="1267"/>
      <c r="C1546" s="1268"/>
      <c r="D1546" s="472" t="s">
        <v>425</v>
      </c>
      <c r="E1546" s="346" t="s">
        <v>232</v>
      </c>
      <c r="F1546" s="347">
        <f>783</f>
        <v>783</v>
      </c>
    </row>
    <row r="1547" spans="1:6" ht="17.100000000000001" customHeight="1">
      <c r="A1547" s="901"/>
      <c r="B1547" s="883"/>
      <c r="C1547" s="462"/>
      <c r="D1547" s="472" t="s">
        <v>619</v>
      </c>
      <c r="E1547" s="346" t="s">
        <v>234</v>
      </c>
      <c r="F1547" s="347">
        <f>3060</f>
        <v>3060</v>
      </c>
    </row>
    <row r="1548" spans="1:6" ht="17.100000000000001" customHeight="1">
      <c r="A1548" s="901"/>
      <c r="B1548" s="883"/>
      <c r="C1548" s="462"/>
      <c r="D1548" s="472" t="s">
        <v>616</v>
      </c>
      <c r="E1548" s="346" t="s">
        <v>234</v>
      </c>
      <c r="F1548" s="347">
        <f>540</f>
        <v>540</v>
      </c>
    </row>
    <row r="1549" spans="1:6" ht="17.100000000000001" customHeight="1">
      <c r="A1549" s="901"/>
      <c r="B1549" s="1267"/>
      <c r="C1549" s="1268"/>
      <c r="D1549" s="472" t="s">
        <v>527</v>
      </c>
      <c r="E1549" s="346" t="s">
        <v>236</v>
      </c>
      <c r="F1549" s="347">
        <f>510</f>
        <v>510</v>
      </c>
    </row>
    <row r="1550" spans="1:6" ht="17.100000000000001" customHeight="1">
      <c r="A1550" s="901"/>
      <c r="B1550" s="1267"/>
      <c r="C1550" s="1268"/>
      <c r="D1550" s="472" t="s">
        <v>528</v>
      </c>
      <c r="E1550" s="346" t="s">
        <v>236</v>
      </c>
      <c r="F1550" s="347">
        <f>90</f>
        <v>90</v>
      </c>
    </row>
    <row r="1551" spans="1:6" ht="17.100000000000001" customHeight="1">
      <c r="A1551" s="901"/>
      <c r="B1551" s="1267"/>
      <c r="C1551" s="1268"/>
      <c r="D1551" s="472" t="s">
        <v>366</v>
      </c>
      <c r="E1551" s="346" t="s">
        <v>238</v>
      </c>
      <c r="F1551" s="347">
        <f>179554</f>
        <v>179554</v>
      </c>
    </row>
    <row r="1552" spans="1:6" ht="17.100000000000001" customHeight="1">
      <c r="A1552" s="901"/>
      <c r="B1552" s="1267"/>
      <c r="C1552" s="1268"/>
      <c r="D1552" s="472" t="s">
        <v>304</v>
      </c>
      <c r="E1552" s="346" t="s">
        <v>238</v>
      </c>
      <c r="F1552" s="347">
        <f>31691</f>
        <v>31691</v>
      </c>
    </row>
    <row r="1553" spans="1:6" ht="17.100000000000001" customHeight="1">
      <c r="A1553" s="901"/>
      <c r="B1553" s="1267"/>
      <c r="C1553" s="1268"/>
      <c r="D1553" s="472" t="s">
        <v>426</v>
      </c>
      <c r="E1553" s="346" t="s">
        <v>240</v>
      </c>
      <c r="F1553" s="347">
        <f>2403</f>
        <v>2403</v>
      </c>
    </row>
    <row r="1554" spans="1:6" ht="17.100000000000001" customHeight="1">
      <c r="A1554" s="901"/>
      <c r="B1554" s="1267"/>
      <c r="C1554" s="1268"/>
      <c r="D1554" s="472" t="s">
        <v>306</v>
      </c>
      <c r="E1554" s="346" t="s">
        <v>240</v>
      </c>
      <c r="F1554" s="347">
        <f>424</f>
        <v>424</v>
      </c>
    </row>
    <row r="1555" spans="1:6" ht="27.75" customHeight="1">
      <c r="A1555" s="901"/>
      <c r="B1555" s="1267"/>
      <c r="C1555" s="1268"/>
      <c r="D1555" s="472" t="s">
        <v>427</v>
      </c>
      <c r="E1555" s="346" t="s">
        <v>242</v>
      </c>
      <c r="F1555" s="347">
        <f>687</f>
        <v>687</v>
      </c>
    </row>
    <row r="1556" spans="1:6" ht="26.25" customHeight="1">
      <c r="A1556" s="901"/>
      <c r="B1556" s="1267"/>
      <c r="C1556" s="1268"/>
      <c r="D1556" s="472" t="s">
        <v>308</v>
      </c>
      <c r="E1556" s="346" t="s">
        <v>242</v>
      </c>
      <c r="F1556" s="347">
        <f>121</f>
        <v>121</v>
      </c>
    </row>
    <row r="1557" spans="1:6" ht="27.75" customHeight="1">
      <c r="A1557" s="901"/>
      <c r="B1557" s="1267"/>
      <c r="C1557" s="1268"/>
      <c r="D1557" s="472" t="s">
        <v>461</v>
      </c>
      <c r="E1557" s="346" t="s">
        <v>244</v>
      </c>
      <c r="F1557" s="347">
        <f>1513</f>
        <v>1513</v>
      </c>
    </row>
    <row r="1558" spans="1:6" ht="24" customHeight="1">
      <c r="A1558" s="901"/>
      <c r="B1558" s="1267"/>
      <c r="C1558" s="1268"/>
      <c r="D1558" s="472" t="s">
        <v>447</v>
      </c>
      <c r="E1558" s="346" t="s">
        <v>244</v>
      </c>
      <c r="F1558" s="347">
        <f>267</f>
        <v>267</v>
      </c>
    </row>
    <row r="1559" spans="1:6" ht="20.100000000000001" customHeight="1">
      <c r="A1559" s="901"/>
      <c r="B1559" s="1267"/>
      <c r="C1559" s="1268"/>
      <c r="D1559" s="472" t="s">
        <v>462</v>
      </c>
      <c r="E1559" s="346" t="s">
        <v>248</v>
      </c>
      <c r="F1559" s="347">
        <f>8862</f>
        <v>8862</v>
      </c>
    </row>
    <row r="1560" spans="1:6" ht="20.100000000000001" customHeight="1">
      <c r="A1560" s="901"/>
      <c r="B1560" s="1267"/>
      <c r="C1560" s="1268"/>
      <c r="D1560" s="472" t="s">
        <v>452</v>
      </c>
      <c r="E1560" s="346" t="s">
        <v>248</v>
      </c>
      <c r="F1560" s="347">
        <f>1564</f>
        <v>1564</v>
      </c>
    </row>
    <row r="1561" spans="1:6" ht="17.100000000000001" customHeight="1">
      <c r="A1561" s="901"/>
      <c r="B1561" s="1267"/>
      <c r="C1561" s="1268"/>
      <c r="D1561" s="472" t="s">
        <v>392</v>
      </c>
      <c r="E1561" s="346" t="s">
        <v>250</v>
      </c>
      <c r="F1561" s="347">
        <f>3733</f>
        <v>3733</v>
      </c>
    </row>
    <row r="1562" spans="1:6" ht="17.100000000000001" customHeight="1">
      <c r="A1562" s="901"/>
      <c r="B1562" s="1267"/>
      <c r="C1562" s="1268"/>
      <c r="D1562" s="472" t="s">
        <v>310</v>
      </c>
      <c r="E1562" s="346" t="s">
        <v>250</v>
      </c>
      <c r="F1562" s="347">
        <f>660</f>
        <v>660</v>
      </c>
    </row>
    <row r="1563" spans="1:6" ht="17.100000000000001" customHeight="1">
      <c r="A1563" s="901"/>
      <c r="B1563" s="1267"/>
      <c r="C1563" s="1268"/>
      <c r="D1563" s="472" t="s">
        <v>620</v>
      </c>
      <c r="E1563" s="346" t="s">
        <v>252</v>
      </c>
      <c r="F1563" s="347">
        <f>850</f>
        <v>850</v>
      </c>
    </row>
    <row r="1564" spans="1:6" ht="17.100000000000001" customHeight="1">
      <c r="A1564" s="901"/>
      <c r="B1564" s="1267"/>
      <c r="C1564" s="1268"/>
      <c r="D1564" s="472" t="s">
        <v>316</v>
      </c>
      <c r="E1564" s="346" t="s">
        <v>252</v>
      </c>
      <c r="F1564" s="347">
        <f>150</f>
        <v>150</v>
      </c>
    </row>
    <row r="1565" spans="1:6" ht="17.100000000000001" customHeight="1">
      <c r="A1565" s="901"/>
      <c r="B1565" s="1267"/>
      <c r="C1565" s="1268"/>
      <c r="D1565" s="472" t="s">
        <v>428</v>
      </c>
      <c r="E1565" s="346" t="s">
        <v>254</v>
      </c>
      <c r="F1565" s="347">
        <f>5904</f>
        <v>5904</v>
      </c>
    </row>
    <row r="1566" spans="1:6" ht="17.100000000000001" customHeight="1">
      <c r="A1566" s="901"/>
      <c r="B1566" s="1267"/>
      <c r="C1566" s="1268"/>
      <c r="D1566" s="472" t="s">
        <v>429</v>
      </c>
      <c r="E1566" s="346" t="s">
        <v>254</v>
      </c>
      <c r="F1566" s="347">
        <f>1039</f>
        <v>1039</v>
      </c>
    </row>
    <row r="1567" spans="1:6" ht="17.100000000000001" customHeight="1">
      <c r="A1567" s="901"/>
      <c r="B1567" s="883"/>
      <c r="C1567" s="462"/>
      <c r="D1567" s="472" t="s">
        <v>536</v>
      </c>
      <c r="E1567" s="346" t="s">
        <v>260</v>
      </c>
      <c r="F1567" s="347">
        <f>202</f>
        <v>202</v>
      </c>
    </row>
    <row r="1568" spans="1:6" ht="17.100000000000001" customHeight="1">
      <c r="A1568" s="901"/>
      <c r="B1568" s="883"/>
      <c r="C1568" s="462"/>
      <c r="D1568" s="472" t="s">
        <v>454</v>
      </c>
      <c r="E1568" s="346" t="s">
        <v>260</v>
      </c>
      <c r="F1568" s="347">
        <f>36</f>
        <v>36</v>
      </c>
    </row>
    <row r="1569" spans="1:6" ht="17.100000000000001" customHeight="1">
      <c r="A1569" s="900" t="s">
        <v>19</v>
      </c>
      <c r="B1569" s="1276"/>
      <c r="C1569" s="1277"/>
      <c r="D1569" s="337"/>
      <c r="E1569" s="338" t="s">
        <v>621</v>
      </c>
      <c r="F1569" s="339">
        <f>F1570+F1590+F1607+F1611</f>
        <v>6555096</v>
      </c>
    </row>
    <row r="1570" spans="1:6" ht="17.100000000000001" customHeight="1">
      <c r="A1570" s="901"/>
      <c r="B1570" s="1278" t="s">
        <v>622</v>
      </c>
      <c r="C1570" s="1279"/>
      <c r="D1570" s="340"/>
      <c r="E1570" s="341" t="s">
        <v>623</v>
      </c>
      <c r="F1570" s="342">
        <f>F1571</f>
        <v>773121</v>
      </c>
    </row>
    <row r="1571" spans="1:6" ht="17.100000000000001" customHeight="1">
      <c r="A1571" s="901"/>
      <c r="B1571" s="883"/>
      <c r="C1571" s="462"/>
      <c r="D1571" s="1284" t="s">
        <v>213</v>
      </c>
      <c r="E1571" s="1285"/>
      <c r="F1571" s="343">
        <f>F1572+F1588</f>
        <v>773121</v>
      </c>
    </row>
    <row r="1572" spans="1:6" ht="17.100000000000001" customHeight="1">
      <c r="A1572" s="901"/>
      <c r="B1572" s="883"/>
      <c r="C1572" s="462"/>
      <c r="D1572" s="1453" t="s">
        <v>214</v>
      </c>
      <c r="E1572" s="1454"/>
      <c r="F1572" s="347">
        <f>F1573+F1579</f>
        <v>769667</v>
      </c>
    </row>
    <row r="1573" spans="1:6" ht="17.100000000000001" customHeight="1">
      <c r="A1573" s="901"/>
      <c r="B1573" s="883"/>
      <c r="C1573" s="462"/>
      <c r="D1573" s="1459" t="s">
        <v>215</v>
      </c>
      <c r="E1573" s="1460"/>
      <c r="F1573" s="347">
        <f>SUM(F1574:F1577)</f>
        <v>651733</v>
      </c>
    </row>
    <row r="1574" spans="1:6" ht="17.100000000000001" customHeight="1">
      <c r="A1574" s="901"/>
      <c r="B1574" s="1267"/>
      <c r="C1574" s="1268"/>
      <c r="D1574" s="472" t="s">
        <v>216</v>
      </c>
      <c r="E1574" s="346" t="s">
        <v>217</v>
      </c>
      <c r="F1574" s="347">
        <f>505523</f>
        <v>505523</v>
      </c>
    </row>
    <row r="1575" spans="1:6" ht="17.100000000000001" customHeight="1">
      <c r="A1575" s="901"/>
      <c r="B1575" s="1267"/>
      <c r="C1575" s="1268"/>
      <c r="D1575" s="472" t="s">
        <v>218</v>
      </c>
      <c r="E1575" s="346" t="s">
        <v>219</v>
      </c>
      <c r="F1575" s="347">
        <f>42131</f>
        <v>42131</v>
      </c>
    </row>
    <row r="1576" spans="1:6" ht="17.100000000000001" customHeight="1">
      <c r="A1576" s="901"/>
      <c r="B1576" s="1267"/>
      <c r="C1576" s="1268"/>
      <c r="D1576" s="472" t="s">
        <v>220</v>
      </c>
      <c r="E1576" s="346" t="s">
        <v>221</v>
      </c>
      <c r="F1576" s="347">
        <f>91096</f>
        <v>91096</v>
      </c>
    </row>
    <row r="1577" spans="1:6" ht="17.100000000000001" customHeight="1">
      <c r="A1577" s="901"/>
      <c r="B1577" s="1267"/>
      <c r="C1577" s="1268"/>
      <c r="D1577" s="472" t="s">
        <v>222</v>
      </c>
      <c r="E1577" s="346" t="s">
        <v>223</v>
      </c>
      <c r="F1577" s="347">
        <f>12983</f>
        <v>12983</v>
      </c>
    </row>
    <row r="1578" spans="1:6" ht="17.100000000000001" customHeight="1">
      <c r="A1578" s="901"/>
      <c r="B1578" s="883"/>
      <c r="C1578" s="462"/>
      <c r="D1578" s="1267"/>
      <c r="E1578" s="1269"/>
      <c r="F1578" s="1270"/>
    </row>
    <row r="1579" spans="1:6" ht="17.100000000000001" customHeight="1">
      <c r="A1579" s="901"/>
      <c r="B1579" s="883"/>
      <c r="C1579" s="462"/>
      <c r="D1579" s="1292" t="s">
        <v>226</v>
      </c>
      <c r="E1579" s="1293"/>
      <c r="F1579" s="347">
        <f>SUM(F1580:F1586)</f>
        <v>117934</v>
      </c>
    </row>
    <row r="1580" spans="1:6" ht="17.100000000000001" customHeight="1">
      <c r="A1580" s="901"/>
      <c r="B1580" s="1267"/>
      <c r="C1580" s="1268"/>
      <c r="D1580" s="472" t="s">
        <v>229</v>
      </c>
      <c r="E1580" s="346" t="s">
        <v>230</v>
      </c>
      <c r="F1580" s="347">
        <f>53538</f>
        <v>53538</v>
      </c>
    </row>
    <row r="1581" spans="1:6" ht="17.100000000000001" customHeight="1">
      <c r="A1581" s="901"/>
      <c r="B1581" s="1267"/>
      <c r="C1581" s="1268"/>
      <c r="D1581" s="472" t="s">
        <v>231</v>
      </c>
      <c r="E1581" s="346" t="s">
        <v>232</v>
      </c>
      <c r="F1581" s="347">
        <f>32557</f>
        <v>32557</v>
      </c>
    </row>
    <row r="1582" spans="1:6" ht="17.100000000000001" customHeight="1">
      <c r="A1582" s="901"/>
      <c r="B1582" s="1267"/>
      <c r="C1582" s="1268"/>
      <c r="D1582" s="472" t="s">
        <v>235</v>
      </c>
      <c r="E1582" s="346" t="s">
        <v>236</v>
      </c>
      <c r="F1582" s="347">
        <f>1530</f>
        <v>1530</v>
      </c>
    </row>
    <row r="1583" spans="1:6" ht="17.100000000000001" customHeight="1">
      <c r="A1583" s="901"/>
      <c r="B1583" s="1267"/>
      <c r="C1583" s="1268"/>
      <c r="D1583" s="472" t="s">
        <v>237</v>
      </c>
      <c r="E1583" s="346" t="s">
        <v>238</v>
      </c>
      <c r="F1583" s="347">
        <f>2820</f>
        <v>2820</v>
      </c>
    </row>
    <row r="1584" spans="1:6" ht="25.5" customHeight="1">
      <c r="A1584" s="901"/>
      <c r="B1584" s="1267"/>
      <c r="C1584" s="1268"/>
      <c r="D1584" s="472" t="s">
        <v>243</v>
      </c>
      <c r="E1584" s="346" t="s">
        <v>244</v>
      </c>
      <c r="F1584" s="347">
        <f>525</f>
        <v>525</v>
      </c>
    </row>
    <row r="1585" spans="1:6" ht="17.100000000000001" customHeight="1">
      <c r="A1585" s="901"/>
      <c r="B1585" s="1267"/>
      <c r="C1585" s="1268"/>
      <c r="D1585" s="353" t="s">
        <v>253</v>
      </c>
      <c r="E1585" s="354" t="s">
        <v>254</v>
      </c>
      <c r="F1585" s="347">
        <f>23552</f>
        <v>23552</v>
      </c>
    </row>
    <row r="1586" spans="1:6" ht="17.100000000000001" customHeight="1">
      <c r="A1586" s="901"/>
      <c r="B1586" s="1267"/>
      <c r="C1586" s="1269"/>
      <c r="D1586" s="351" t="s">
        <v>259</v>
      </c>
      <c r="E1586" s="476" t="s">
        <v>624</v>
      </c>
      <c r="F1586" s="347">
        <f>3412</f>
        <v>3412</v>
      </c>
    </row>
    <row r="1587" spans="1:6" ht="17.100000000000001" customHeight="1">
      <c r="A1587" s="901"/>
      <c r="B1587" s="1267"/>
      <c r="C1587" s="1268"/>
      <c r="D1587" s="1267"/>
      <c r="E1587" s="1269"/>
      <c r="F1587" s="1270"/>
    </row>
    <row r="1588" spans="1:6" ht="17.100000000000001" customHeight="1">
      <c r="A1588" s="901"/>
      <c r="B1588" s="1267"/>
      <c r="C1588" s="1268"/>
      <c r="D1588" s="1290" t="s">
        <v>263</v>
      </c>
      <c r="E1588" s="1291"/>
      <c r="F1588" s="347">
        <f>F1589</f>
        <v>3454</v>
      </c>
    </row>
    <row r="1589" spans="1:6" ht="17.100000000000001" customHeight="1">
      <c r="A1589" s="901"/>
      <c r="B1589" s="1299"/>
      <c r="C1589" s="1300"/>
      <c r="D1589" s="472" t="s">
        <v>264</v>
      </c>
      <c r="E1589" s="346" t="s">
        <v>265</v>
      </c>
      <c r="F1589" s="347">
        <f>3454</f>
        <v>3454</v>
      </c>
    </row>
    <row r="1590" spans="1:6" ht="17.100000000000001" customHeight="1">
      <c r="A1590" s="901"/>
      <c r="B1590" s="1278" t="s">
        <v>625</v>
      </c>
      <c r="C1590" s="1279"/>
      <c r="D1590" s="340"/>
      <c r="E1590" s="341" t="s">
        <v>626</v>
      </c>
      <c r="F1590" s="342">
        <f>F1591</f>
        <v>4903415</v>
      </c>
    </row>
    <row r="1591" spans="1:6" ht="17.100000000000001" customHeight="1">
      <c r="A1591" s="901"/>
      <c r="B1591" s="1280"/>
      <c r="C1591" s="1281"/>
      <c r="D1591" s="1284" t="s">
        <v>213</v>
      </c>
      <c r="E1591" s="1285"/>
      <c r="F1591" s="343">
        <f>F1592</f>
        <v>4903415</v>
      </c>
    </row>
    <row r="1592" spans="1:6" ht="17.100000000000001" customHeight="1">
      <c r="A1592" s="901"/>
      <c r="B1592" s="1282"/>
      <c r="C1592" s="1283"/>
      <c r="D1592" s="1286" t="s">
        <v>343</v>
      </c>
      <c r="E1592" s="1294"/>
      <c r="F1592" s="347">
        <f>SUM(F1593:F1606)</f>
        <v>4903415</v>
      </c>
    </row>
    <row r="1593" spans="1:6" ht="17.100000000000001" customHeight="1">
      <c r="A1593" s="901"/>
      <c r="B1593" s="1282"/>
      <c r="C1593" s="1283"/>
      <c r="D1593" s="472" t="s">
        <v>627</v>
      </c>
      <c r="E1593" s="346" t="s">
        <v>534</v>
      </c>
      <c r="F1593" s="347">
        <f>3009000</f>
        <v>3009000</v>
      </c>
    </row>
    <row r="1594" spans="1:6" ht="17.100000000000001" customHeight="1">
      <c r="A1594" s="901"/>
      <c r="B1594" s="1267"/>
      <c r="C1594" s="1268"/>
      <c r="D1594" s="472" t="s">
        <v>628</v>
      </c>
      <c r="E1594" s="346" t="s">
        <v>534</v>
      </c>
      <c r="F1594" s="347">
        <f>531000</f>
        <v>531000</v>
      </c>
    </row>
    <row r="1595" spans="1:6" ht="17.100000000000001" customHeight="1">
      <c r="A1595" s="901"/>
      <c r="B1595" s="1267"/>
      <c r="C1595" s="1268"/>
      <c r="D1595" s="472" t="s">
        <v>362</v>
      </c>
      <c r="E1595" s="346" t="s">
        <v>217</v>
      </c>
      <c r="F1595" s="347">
        <f>142165</f>
        <v>142165</v>
      </c>
    </row>
    <row r="1596" spans="1:6" ht="17.100000000000001" customHeight="1">
      <c r="A1596" s="901"/>
      <c r="B1596" s="1267"/>
      <c r="C1596" s="1268"/>
      <c r="D1596" s="472" t="s">
        <v>292</v>
      </c>
      <c r="E1596" s="346" t="s">
        <v>217</v>
      </c>
      <c r="F1596" s="347">
        <f>25088</f>
        <v>25088</v>
      </c>
    </row>
    <row r="1597" spans="1:6" ht="17.100000000000001" customHeight="1">
      <c r="A1597" s="901"/>
      <c r="B1597" s="1267"/>
      <c r="C1597" s="1268"/>
      <c r="D1597" s="472" t="s">
        <v>363</v>
      </c>
      <c r="E1597" s="346" t="s">
        <v>221</v>
      </c>
      <c r="F1597" s="347">
        <f>162852</f>
        <v>162852</v>
      </c>
    </row>
    <row r="1598" spans="1:6" ht="17.100000000000001" customHeight="1">
      <c r="A1598" s="901"/>
      <c r="B1598" s="1267"/>
      <c r="C1598" s="1268"/>
      <c r="D1598" s="472" t="s">
        <v>296</v>
      </c>
      <c r="E1598" s="346" t="s">
        <v>221</v>
      </c>
      <c r="F1598" s="347">
        <f>28739</f>
        <v>28739</v>
      </c>
    </row>
    <row r="1599" spans="1:6" ht="17.100000000000001" customHeight="1">
      <c r="A1599" s="901"/>
      <c r="B1599" s="1267"/>
      <c r="C1599" s="1268"/>
      <c r="D1599" s="472" t="s">
        <v>364</v>
      </c>
      <c r="E1599" s="346" t="s">
        <v>223</v>
      </c>
      <c r="F1599" s="347">
        <f>23086</f>
        <v>23086</v>
      </c>
    </row>
    <row r="1600" spans="1:6" ht="17.100000000000001" customHeight="1">
      <c r="A1600" s="901"/>
      <c r="B1600" s="1267"/>
      <c r="C1600" s="1268"/>
      <c r="D1600" s="472" t="s">
        <v>298</v>
      </c>
      <c r="E1600" s="346" t="s">
        <v>223</v>
      </c>
      <c r="F1600" s="347">
        <f>4074</f>
        <v>4074</v>
      </c>
    </row>
    <row r="1601" spans="1:6" ht="17.100000000000001" customHeight="1">
      <c r="A1601" s="901"/>
      <c r="B1601" s="1267"/>
      <c r="C1601" s="1268"/>
      <c r="D1601" s="472" t="s">
        <v>460</v>
      </c>
      <c r="E1601" s="346" t="s">
        <v>225</v>
      </c>
      <c r="F1601" s="347">
        <f>802400</f>
        <v>802400</v>
      </c>
    </row>
    <row r="1602" spans="1:6" ht="17.100000000000001" customHeight="1">
      <c r="A1602" s="901"/>
      <c r="B1602" s="1267"/>
      <c r="C1602" s="1268"/>
      <c r="D1602" s="472" t="s">
        <v>300</v>
      </c>
      <c r="E1602" s="346" t="s">
        <v>225</v>
      </c>
      <c r="F1602" s="347">
        <f>141600</f>
        <v>141600</v>
      </c>
    </row>
    <row r="1603" spans="1:6" ht="17.100000000000001" customHeight="1">
      <c r="A1603" s="901"/>
      <c r="B1603" s="1267"/>
      <c r="C1603" s="1268"/>
      <c r="D1603" s="472" t="s">
        <v>365</v>
      </c>
      <c r="E1603" s="346" t="s">
        <v>230</v>
      </c>
      <c r="F1603" s="347">
        <f>8500</f>
        <v>8500</v>
      </c>
    </row>
    <row r="1604" spans="1:6" ht="17.100000000000001" customHeight="1">
      <c r="A1604" s="901"/>
      <c r="B1604" s="1267"/>
      <c r="C1604" s="1268"/>
      <c r="D1604" s="472" t="s">
        <v>302</v>
      </c>
      <c r="E1604" s="346" t="s">
        <v>230</v>
      </c>
      <c r="F1604" s="347">
        <f>1500</f>
        <v>1500</v>
      </c>
    </row>
    <row r="1605" spans="1:6" ht="17.100000000000001" customHeight="1">
      <c r="A1605" s="901"/>
      <c r="B1605" s="1267"/>
      <c r="C1605" s="1268"/>
      <c r="D1605" s="472" t="s">
        <v>367</v>
      </c>
      <c r="E1605" s="346" t="s">
        <v>246</v>
      </c>
      <c r="F1605" s="347">
        <f>19900</f>
        <v>19900</v>
      </c>
    </row>
    <row r="1606" spans="1:6" ht="17.100000000000001" customHeight="1">
      <c r="A1606" s="901"/>
      <c r="B1606" s="1267"/>
      <c r="C1606" s="1268"/>
      <c r="D1606" s="472" t="s">
        <v>368</v>
      </c>
      <c r="E1606" s="346" t="s">
        <v>246</v>
      </c>
      <c r="F1606" s="347">
        <f>3511</f>
        <v>3511</v>
      </c>
    </row>
    <row r="1607" spans="1:6" ht="17.100000000000001" customHeight="1">
      <c r="A1607" s="901"/>
      <c r="B1607" s="1278" t="s">
        <v>20</v>
      </c>
      <c r="C1607" s="1279"/>
      <c r="D1607" s="340"/>
      <c r="E1607" s="341" t="s">
        <v>21</v>
      </c>
      <c r="F1607" s="342">
        <f>F1608</f>
        <v>400000</v>
      </c>
    </row>
    <row r="1608" spans="1:6" ht="17.100000000000001" customHeight="1">
      <c r="A1608" s="901"/>
      <c r="B1608" s="1280"/>
      <c r="C1608" s="1281"/>
      <c r="D1608" s="1284" t="s">
        <v>213</v>
      </c>
      <c r="E1608" s="1285"/>
      <c r="F1608" s="343">
        <f>F1609</f>
        <v>400000</v>
      </c>
    </row>
    <row r="1609" spans="1:6" ht="17.100000000000001" customHeight="1">
      <c r="A1609" s="901"/>
      <c r="B1609" s="1282"/>
      <c r="C1609" s="1283"/>
      <c r="D1609" s="1286" t="s">
        <v>286</v>
      </c>
      <c r="E1609" s="1294"/>
      <c r="F1609" s="347">
        <f>F1610</f>
        <v>400000</v>
      </c>
    </row>
    <row r="1610" spans="1:6" ht="28.5" customHeight="1">
      <c r="A1610" s="901"/>
      <c r="B1610" s="1303"/>
      <c r="C1610" s="1308"/>
      <c r="D1610" s="472" t="s">
        <v>629</v>
      </c>
      <c r="E1610" s="346" t="s">
        <v>630</v>
      </c>
      <c r="F1610" s="347">
        <f>400000</f>
        <v>400000</v>
      </c>
    </row>
    <row r="1611" spans="1:6" ht="17.100000000000001" customHeight="1">
      <c r="A1611" s="901"/>
      <c r="B1611" s="1278" t="s">
        <v>631</v>
      </c>
      <c r="C1611" s="1279"/>
      <c r="D1611" s="340"/>
      <c r="E1611" s="341" t="s">
        <v>332</v>
      </c>
      <c r="F1611" s="342">
        <f>F1612+F1616</f>
        <v>478560</v>
      </c>
    </row>
    <row r="1612" spans="1:6" ht="17.100000000000001" customHeight="1">
      <c r="A1612" s="901"/>
      <c r="B1612" s="1280"/>
      <c r="C1612" s="1281"/>
      <c r="D1612" s="1284" t="s">
        <v>213</v>
      </c>
      <c r="E1612" s="1285"/>
      <c r="F1612" s="343">
        <f>F1613</f>
        <v>472560</v>
      </c>
    </row>
    <row r="1613" spans="1:6" ht="17.100000000000001" customHeight="1">
      <c r="A1613" s="901"/>
      <c r="B1613" s="1282"/>
      <c r="C1613" s="1283"/>
      <c r="D1613" s="1286" t="s">
        <v>286</v>
      </c>
      <c r="E1613" s="1294"/>
      <c r="F1613" s="347">
        <f>F1614</f>
        <v>472560</v>
      </c>
    </row>
    <row r="1614" spans="1:6" ht="38.25" customHeight="1">
      <c r="A1614" s="901"/>
      <c r="B1614" s="1282"/>
      <c r="C1614" s="1283"/>
      <c r="D1614" s="472" t="s">
        <v>348</v>
      </c>
      <c r="E1614" s="346" t="s">
        <v>349</v>
      </c>
      <c r="F1614" s="347">
        <f>472560</f>
        <v>472560</v>
      </c>
    </row>
    <row r="1615" spans="1:6" ht="17.100000000000001" customHeight="1">
      <c r="A1615" s="901"/>
      <c r="B1615" s="889"/>
      <c r="C1615" s="468"/>
      <c r="D1615" s="1267"/>
      <c r="E1615" s="1269"/>
      <c r="F1615" s="1270"/>
    </row>
    <row r="1616" spans="1:6" ht="17.100000000000001" customHeight="1">
      <c r="A1616" s="901"/>
      <c r="B1616" s="889"/>
      <c r="C1616" s="468"/>
      <c r="D1616" s="1296" t="s">
        <v>266</v>
      </c>
      <c r="E1616" s="1297"/>
      <c r="F1616" s="343">
        <f>F1617</f>
        <v>6000</v>
      </c>
    </row>
    <row r="1617" spans="1:7" ht="17.100000000000001" customHeight="1">
      <c r="A1617" s="901"/>
      <c r="B1617" s="889"/>
      <c r="C1617" s="468"/>
      <c r="D1617" s="1290" t="s">
        <v>905</v>
      </c>
      <c r="E1617" s="1291"/>
      <c r="F1617" s="347">
        <f>F1618</f>
        <v>6000</v>
      </c>
    </row>
    <row r="1618" spans="1:7" ht="39.75" customHeight="1">
      <c r="A1618" s="901"/>
      <c r="B1618" s="1267"/>
      <c r="C1618" s="1268"/>
      <c r="D1618" s="472" t="s">
        <v>350</v>
      </c>
      <c r="E1618" s="346" t="s">
        <v>349</v>
      </c>
      <c r="F1618" s="347">
        <f>6000</f>
        <v>6000</v>
      </c>
      <c r="G1618" s="368"/>
    </row>
    <row r="1619" spans="1:7" ht="17.100000000000001" customHeight="1">
      <c r="A1619" s="907" t="s">
        <v>632</v>
      </c>
      <c r="B1619" s="1461"/>
      <c r="C1619" s="1462"/>
      <c r="D1619" s="445"/>
      <c r="E1619" s="446" t="s">
        <v>633</v>
      </c>
      <c r="F1619" s="447">
        <f>F1620+F1624+F1635+F1642+F1647</f>
        <v>998884</v>
      </c>
    </row>
    <row r="1620" spans="1:7" ht="17.100000000000001" customHeight="1">
      <c r="A1620" s="901"/>
      <c r="B1620" s="1278" t="s">
        <v>634</v>
      </c>
      <c r="C1620" s="1279"/>
      <c r="D1620" s="340"/>
      <c r="E1620" s="341" t="s">
        <v>635</v>
      </c>
      <c r="F1620" s="342">
        <f>F1621</f>
        <v>181700</v>
      </c>
    </row>
    <row r="1621" spans="1:7" ht="17.100000000000001" customHeight="1">
      <c r="A1621" s="901"/>
      <c r="B1621" s="1280"/>
      <c r="C1621" s="1281"/>
      <c r="D1621" s="1284" t="s">
        <v>213</v>
      </c>
      <c r="E1621" s="1285"/>
      <c r="F1621" s="343">
        <f>F1622</f>
        <v>181700</v>
      </c>
    </row>
    <row r="1622" spans="1:7" ht="17.100000000000001" customHeight="1">
      <c r="A1622" s="901"/>
      <c r="B1622" s="1282"/>
      <c r="C1622" s="1283"/>
      <c r="D1622" s="1292" t="s">
        <v>226</v>
      </c>
      <c r="E1622" s="1293"/>
      <c r="F1622" s="347">
        <f>SUM(F1623:F1623)</f>
        <v>181700</v>
      </c>
    </row>
    <row r="1623" spans="1:7" ht="17.100000000000001" customHeight="1">
      <c r="A1623" s="901"/>
      <c r="B1623" s="1282"/>
      <c r="C1623" s="1283"/>
      <c r="D1623" s="472" t="s">
        <v>237</v>
      </c>
      <c r="E1623" s="346" t="s">
        <v>238</v>
      </c>
      <c r="F1623" s="347">
        <f>119700+62000</f>
        <v>181700</v>
      </c>
    </row>
    <row r="1624" spans="1:7" ht="24.75" customHeight="1">
      <c r="A1624" s="901"/>
      <c r="B1624" s="1278" t="s">
        <v>636</v>
      </c>
      <c r="C1624" s="1279"/>
      <c r="D1624" s="340"/>
      <c r="E1624" s="341" t="s">
        <v>637</v>
      </c>
      <c r="F1624" s="342">
        <f>F1625+F1632</f>
        <v>650000</v>
      </c>
    </row>
    <row r="1625" spans="1:7" ht="17.100000000000001" customHeight="1">
      <c r="A1625" s="901"/>
      <c r="B1625" s="1280"/>
      <c r="C1625" s="1281"/>
      <c r="D1625" s="1284" t="s">
        <v>213</v>
      </c>
      <c r="E1625" s="1285"/>
      <c r="F1625" s="343">
        <f>F1626</f>
        <v>650000</v>
      </c>
    </row>
    <row r="1626" spans="1:7" ht="17.100000000000001" customHeight="1">
      <c r="A1626" s="901"/>
      <c r="B1626" s="1282"/>
      <c r="C1626" s="1283"/>
      <c r="D1626" s="1453" t="s">
        <v>214</v>
      </c>
      <c r="E1626" s="1454"/>
      <c r="F1626" s="347">
        <f>F1627</f>
        <v>650000</v>
      </c>
    </row>
    <row r="1627" spans="1:7" ht="17.100000000000001" customHeight="1">
      <c r="A1627" s="901"/>
      <c r="B1627" s="1282"/>
      <c r="C1627" s="1283"/>
      <c r="D1627" s="1459" t="s">
        <v>215</v>
      </c>
      <c r="E1627" s="1460"/>
      <c r="F1627" s="347">
        <f>SUM(F1628:F1630)</f>
        <v>650000</v>
      </c>
    </row>
    <row r="1628" spans="1:7" ht="17.100000000000001" customHeight="1">
      <c r="A1628" s="901"/>
      <c r="B1628" s="1282"/>
      <c r="C1628" s="1283"/>
      <c r="D1628" s="373" t="s">
        <v>216</v>
      </c>
      <c r="E1628" s="448" t="s">
        <v>217</v>
      </c>
      <c r="F1628" s="347">
        <f>543297</f>
        <v>543297</v>
      </c>
    </row>
    <row r="1629" spans="1:7" ht="17.100000000000001" customHeight="1">
      <c r="A1629" s="901"/>
      <c r="B1629" s="1282"/>
      <c r="C1629" s="1283"/>
      <c r="D1629" s="472" t="s">
        <v>220</v>
      </c>
      <c r="E1629" s="346" t="s">
        <v>221</v>
      </c>
      <c r="F1629" s="347">
        <f>93393</f>
        <v>93393</v>
      </c>
    </row>
    <row r="1630" spans="1:7" ht="17.100000000000001" customHeight="1">
      <c r="A1630" s="901"/>
      <c r="B1630" s="1282"/>
      <c r="C1630" s="1283"/>
      <c r="D1630" s="472" t="s">
        <v>222</v>
      </c>
      <c r="E1630" s="346" t="s">
        <v>223</v>
      </c>
      <c r="F1630" s="347">
        <f>13310</f>
        <v>13310</v>
      </c>
    </row>
    <row r="1631" spans="1:7" ht="17.100000000000001" hidden="1" customHeight="1">
      <c r="A1631" s="901"/>
      <c r="B1631" s="1282"/>
      <c r="C1631" s="1283"/>
      <c r="D1631" s="1267"/>
      <c r="E1631" s="1269"/>
      <c r="F1631" s="1270"/>
    </row>
    <row r="1632" spans="1:7" ht="17.100000000000001" hidden="1" customHeight="1">
      <c r="A1632" s="901"/>
      <c r="B1632" s="1282"/>
      <c r="C1632" s="1283"/>
      <c r="D1632" s="1296" t="s">
        <v>266</v>
      </c>
      <c r="E1632" s="1297"/>
      <c r="F1632" s="343">
        <f>F1633</f>
        <v>0</v>
      </c>
    </row>
    <row r="1633" spans="1:6" ht="17.100000000000001" hidden="1" customHeight="1">
      <c r="A1633" s="901"/>
      <c r="B1633" s="1282"/>
      <c r="C1633" s="1283"/>
      <c r="D1633" s="1290" t="s">
        <v>267</v>
      </c>
      <c r="E1633" s="1291"/>
      <c r="F1633" s="347">
        <f>F1634</f>
        <v>0</v>
      </c>
    </row>
    <row r="1634" spans="1:6" ht="17.100000000000001" hidden="1" customHeight="1">
      <c r="A1634" s="901"/>
      <c r="B1634" s="1303"/>
      <c r="C1634" s="1308"/>
      <c r="D1634" s="472" t="s">
        <v>270</v>
      </c>
      <c r="E1634" s="346" t="s">
        <v>271</v>
      </c>
      <c r="F1634" s="347"/>
    </row>
    <row r="1635" spans="1:6" ht="20.100000000000001" customHeight="1">
      <c r="A1635" s="901"/>
      <c r="B1635" s="1278" t="s">
        <v>638</v>
      </c>
      <c r="C1635" s="1279"/>
      <c r="D1635" s="340"/>
      <c r="E1635" s="341" t="s">
        <v>639</v>
      </c>
      <c r="F1635" s="342">
        <f>F1636</f>
        <v>1500</v>
      </c>
    </row>
    <row r="1636" spans="1:6" ht="17.100000000000001" customHeight="1">
      <c r="A1636" s="901"/>
      <c r="B1636" s="1280"/>
      <c r="C1636" s="1281"/>
      <c r="D1636" s="1284" t="s">
        <v>213</v>
      </c>
      <c r="E1636" s="1285"/>
      <c r="F1636" s="343">
        <f>F1637</f>
        <v>1500</v>
      </c>
    </row>
    <row r="1637" spans="1:6" ht="17.100000000000001" customHeight="1">
      <c r="A1637" s="901"/>
      <c r="B1637" s="1282"/>
      <c r="C1637" s="1283"/>
      <c r="D1637" s="1453" t="s">
        <v>214</v>
      </c>
      <c r="E1637" s="1454"/>
      <c r="F1637" s="347">
        <f>F1638</f>
        <v>1500</v>
      </c>
    </row>
    <row r="1638" spans="1:6" ht="17.100000000000001" customHeight="1">
      <c r="A1638" s="901"/>
      <c r="B1638" s="1282"/>
      <c r="C1638" s="1283"/>
      <c r="D1638" s="1459" t="s">
        <v>215</v>
      </c>
      <c r="E1638" s="1460"/>
      <c r="F1638" s="347">
        <f>SUM(F1639:F1641)</f>
        <v>1500</v>
      </c>
    </row>
    <row r="1639" spans="1:6" ht="17.100000000000001" customHeight="1">
      <c r="A1639" s="901"/>
      <c r="B1639" s="1282"/>
      <c r="C1639" s="1283"/>
      <c r="D1639" s="472" t="s">
        <v>216</v>
      </c>
      <c r="E1639" s="346" t="s">
        <v>217</v>
      </c>
      <c r="F1639" s="347">
        <f>1254</f>
        <v>1254</v>
      </c>
    </row>
    <row r="1640" spans="1:6" ht="17.100000000000001" customHeight="1">
      <c r="A1640" s="901"/>
      <c r="B1640" s="1282"/>
      <c r="C1640" s="1283"/>
      <c r="D1640" s="472" t="s">
        <v>220</v>
      </c>
      <c r="E1640" s="346" t="s">
        <v>221</v>
      </c>
      <c r="F1640" s="347">
        <f>215</f>
        <v>215</v>
      </c>
    </row>
    <row r="1641" spans="1:6" ht="17.100000000000001" customHeight="1">
      <c r="A1641" s="901"/>
      <c r="B1641" s="1299"/>
      <c r="C1641" s="1300"/>
      <c r="D1641" s="472" t="s">
        <v>222</v>
      </c>
      <c r="E1641" s="346" t="s">
        <v>223</v>
      </c>
      <c r="F1641" s="347">
        <f>31</f>
        <v>31</v>
      </c>
    </row>
    <row r="1642" spans="1:6" ht="17.100000000000001" customHeight="1">
      <c r="A1642" s="901"/>
      <c r="B1642" s="467"/>
      <c r="C1642" s="471" t="s">
        <v>640</v>
      </c>
      <c r="D1642" s="340"/>
      <c r="E1642" s="341" t="s">
        <v>641</v>
      </c>
      <c r="F1642" s="342">
        <f>F1643</f>
        <v>3684</v>
      </c>
    </row>
    <row r="1643" spans="1:6" ht="17.100000000000001" customHeight="1">
      <c r="A1643" s="901"/>
      <c r="B1643" s="467"/>
      <c r="C1643" s="1281"/>
      <c r="D1643" s="1284" t="s">
        <v>213</v>
      </c>
      <c r="E1643" s="1285"/>
      <c r="F1643" s="343">
        <f>F1644</f>
        <v>3684</v>
      </c>
    </row>
    <row r="1644" spans="1:6" ht="17.100000000000001" customHeight="1">
      <c r="A1644" s="901"/>
      <c r="B1644" s="467"/>
      <c r="C1644" s="1283"/>
      <c r="D1644" s="1292" t="s">
        <v>226</v>
      </c>
      <c r="E1644" s="1293"/>
      <c r="F1644" s="347">
        <f>F1646+F1645</f>
        <v>3684</v>
      </c>
    </row>
    <row r="1645" spans="1:6" ht="17.100000000000001" customHeight="1">
      <c r="A1645" s="901"/>
      <c r="B1645" s="467"/>
      <c r="C1645" s="1283"/>
      <c r="D1645" s="472" t="s">
        <v>229</v>
      </c>
      <c r="E1645" s="346" t="s">
        <v>230</v>
      </c>
      <c r="F1645" s="347">
        <f>3684</f>
        <v>3684</v>
      </c>
    </row>
    <row r="1646" spans="1:6" ht="17.100000000000001" hidden="1" customHeight="1">
      <c r="A1646" s="901"/>
      <c r="B1646" s="467"/>
      <c r="C1646" s="1308"/>
      <c r="D1646" s="472" t="s">
        <v>237</v>
      </c>
      <c r="E1646" s="346" t="s">
        <v>238</v>
      </c>
      <c r="F1646" s="347"/>
    </row>
    <row r="1647" spans="1:6" ht="17.100000000000001" customHeight="1">
      <c r="A1647" s="901"/>
      <c r="B1647" s="1278" t="s">
        <v>642</v>
      </c>
      <c r="C1647" s="1279"/>
      <c r="D1647" s="340"/>
      <c r="E1647" s="341" t="s">
        <v>332</v>
      </c>
      <c r="F1647" s="342">
        <f>F1648</f>
        <v>162000</v>
      </c>
    </row>
    <row r="1648" spans="1:6" ht="17.100000000000001" customHeight="1">
      <c r="A1648" s="901"/>
      <c r="B1648" s="1280"/>
      <c r="C1648" s="1281"/>
      <c r="D1648" s="1284" t="s">
        <v>213</v>
      </c>
      <c r="E1648" s="1285"/>
      <c r="F1648" s="343">
        <f>F1649</f>
        <v>162000</v>
      </c>
    </row>
    <row r="1649" spans="1:6" ht="17.100000000000001" customHeight="1">
      <c r="A1649" s="901"/>
      <c r="B1649" s="1282"/>
      <c r="C1649" s="1283"/>
      <c r="D1649" s="1463" t="s">
        <v>226</v>
      </c>
      <c r="E1649" s="1464"/>
      <c r="F1649" s="347">
        <f>SUM(F1650:F1652)</f>
        <v>162000</v>
      </c>
    </row>
    <row r="1650" spans="1:6" ht="17.100000000000001" customHeight="1">
      <c r="A1650" s="901"/>
      <c r="B1650" s="1282"/>
      <c r="C1650" s="1302"/>
      <c r="D1650" s="407" t="s">
        <v>229</v>
      </c>
      <c r="E1650" s="466" t="s">
        <v>230</v>
      </c>
      <c r="F1650" s="347">
        <f>7000</f>
        <v>7000</v>
      </c>
    </row>
    <row r="1651" spans="1:6" ht="17.100000000000001" customHeight="1">
      <c r="A1651" s="901"/>
      <c r="B1651" s="1282"/>
      <c r="C1651" s="1283"/>
      <c r="D1651" s="352" t="s">
        <v>237</v>
      </c>
      <c r="E1651" s="346" t="s">
        <v>238</v>
      </c>
      <c r="F1651" s="347">
        <f>137000</f>
        <v>137000</v>
      </c>
    </row>
    <row r="1652" spans="1:6" ht="17.100000000000001" customHeight="1">
      <c r="A1652" s="901"/>
      <c r="B1652" s="1303"/>
      <c r="C1652" s="1308"/>
      <c r="D1652" s="472" t="s">
        <v>245</v>
      </c>
      <c r="E1652" s="346" t="s">
        <v>246</v>
      </c>
      <c r="F1652" s="347">
        <f>18000</f>
        <v>18000</v>
      </c>
    </row>
    <row r="1653" spans="1:6" ht="17.100000000000001" customHeight="1">
      <c r="A1653" s="900" t="s">
        <v>22</v>
      </c>
      <c r="B1653" s="1276"/>
      <c r="C1653" s="1277"/>
      <c r="D1653" s="337"/>
      <c r="E1653" s="338" t="s">
        <v>643</v>
      </c>
      <c r="F1653" s="339">
        <f>F1654+F1662+F1671+F1680+F1690+F1695+F1704+F1713+F1722+F1730</f>
        <v>61861643</v>
      </c>
    </row>
    <row r="1654" spans="1:6" ht="17.100000000000001" customHeight="1">
      <c r="A1654" s="901"/>
      <c r="B1654" s="1278" t="s">
        <v>33</v>
      </c>
      <c r="C1654" s="1279"/>
      <c r="D1654" s="340"/>
      <c r="E1654" s="341" t="s">
        <v>644</v>
      </c>
      <c r="F1654" s="342">
        <f>F1655</f>
        <v>685000</v>
      </c>
    </row>
    <row r="1655" spans="1:6" ht="17.100000000000001" customHeight="1">
      <c r="A1655" s="901"/>
      <c r="B1655" s="1280"/>
      <c r="C1655" s="1281"/>
      <c r="D1655" s="1284" t="s">
        <v>213</v>
      </c>
      <c r="E1655" s="1285"/>
      <c r="F1655" s="343">
        <f>F1656+F1659</f>
        <v>685000</v>
      </c>
    </row>
    <row r="1656" spans="1:6" ht="17.100000000000001" customHeight="1">
      <c r="A1656" s="901"/>
      <c r="B1656" s="1282"/>
      <c r="C1656" s="1283"/>
      <c r="D1656" s="1286" t="s">
        <v>286</v>
      </c>
      <c r="E1656" s="1294"/>
      <c r="F1656" s="347">
        <f>F1657</f>
        <v>520000</v>
      </c>
    </row>
    <row r="1657" spans="1:6" ht="45.75" customHeight="1">
      <c r="A1657" s="901"/>
      <c r="B1657" s="1282"/>
      <c r="C1657" s="1283"/>
      <c r="D1657" s="472" t="s">
        <v>337</v>
      </c>
      <c r="E1657" s="346" t="s">
        <v>338</v>
      </c>
      <c r="F1657" s="347">
        <f>520000</f>
        <v>520000</v>
      </c>
    </row>
    <row r="1658" spans="1:6" ht="17.100000000000001" customHeight="1">
      <c r="A1658" s="901"/>
      <c r="B1658" s="1282"/>
      <c r="C1658" s="1283"/>
      <c r="D1658" s="1267"/>
      <c r="E1658" s="1269"/>
      <c r="F1658" s="1270"/>
    </row>
    <row r="1659" spans="1:6" ht="17.100000000000001" customHeight="1">
      <c r="A1659" s="901"/>
      <c r="B1659" s="1282"/>
      <c r="C1659" s="1283"/>
      <c r="D1659" s="1290" t="s">
        <v>263</v>
      </c>
      <c r="E1659" s="1291"/>
      <c r="F1659" s="347">
        <f>SUM(F1660:F1661)</f>
        <v>165000</v>
      </c>
    </row>
    <row r="1660" spans="1:6" ht="17.100000000000001" customHeight="1">
      <c r="A1660" s="901"/>
      <c r="B1660" s="1282"/>
      <c r="C1660" s="1283"/>
      <c r="D1660" s="472" t="s">
        <v>532</v>
      </c>
      <c r="E1660" s="346" t="s">
        <v>444</v>
      </c>
      <c r="F1660" s="347">
        <f>140000</f>
        <v>140000</v>
      </c>
    </row>
    <row r="1661" spans="1:6" ht="17.100000000000001" customHeight="1">
      <c r="A1661" s="901"/>
      <c r="B1661" s="1303"/>
      <c r="C1661" s="1308"/>
      <c r="D1661" s="472" t="s">
        <v>543</v>
      </c>
      <c r="E1661" s="346" t="s">
        <v>544</v>
      </c>
      <c r="F1661" s="347">
        <f>25000</f>
        <v>25000</v>
      </c>
    </row>
    <row r="1662" spans="1:6" ht="17.100000000000001" customHeight="1">
      <c r="A1662" s="901"/>
      <c r="B1662" s="1278" t="s">
        <v>645</v>
      </c>
      <c r="C1662" s="1279"/>
      <c r="D1662" s="340"/>
      <c r="E1662" s="341" t="s">
        <v>646</v>
      </c>
      <c r="F1662" s="342">
        <f>F1663+F1668</f>
        <v>4458000</v>
      </c>
    </row>
    <row r="1663" spans="1:6" ht="17.100000000000001" customHeight="1">
      <c r="A1663" s="901"/>
      <c r="B1663" s="1280"/>
      <c r="C1663" s="1281"/>
      <c r="D1663" s="1284" t="s">
        <v>213</v>
      </c>
      <c r="E1663" s="1285"/>
      <c r="F1663" s="343">
        <f>F1664</f>
        <v>4458000</v>
      </c>
    </row>
    <row r="1664" spans="1:6" ht="17.100000000000001" customHeight="1">
      <c r="A1664" s="901"/>
      <c r="B1664" s="1282"/>
      <c r="C1664" s="1283"/>
      <c r="D1664" s="1286" t="s">
        <v>286</v>
      </c>
      <c r="E1664" s="1294"/>
      <c r="F1664" s="347">
        <f>F1665+F1666</f>
        <v>4458000</v>
      </c>
    </row>
    <row r="1665" spans="1:6" ht="17.100000000000001" customHeight="1">
      <c r="A1665" s="901"/>
      <c r="B1665" s="1282"/>
      <c r="C1665" s="1283"/>
      <c r="D1665" s="472" t="s">
        <v>647</v>
      </c>
      <c r="E1665" s="346" t="s">
        <v>648</v>
      </c>
      <c r="F1665" s="347">
        <f>4358000</f>
        <v>4358000</v>
      </c>
    </row>
    <row r="1666" spans="1:6" ht="25.5" customHeight="1">
      <c r="A1666" s="901"/>
      <c r="B1666" s="1282"/>
      <c r="C1666" s="1283"/>
      <c r="D1666" s="472" t="s">
        <v>649</v>
      </c>
      <c r="E1666" s="346" t="s">
        <v>650</v>
      </c>
      <c r="F1666" s="347">
        <f>100000</f>
        <v>100000</v>
      </c>
    </row>
    <row r="1667" spans="1:6" ht="17.100000000000001" hidden="1" customHeight="1">
      <c r="A1667" s="901"/>
      <c r="B1667" s="1282"/>
      <c r="C1667" s="1283"/>
      <c r="D1667" s="1267"/>
      <c r="E1667" s="1269"/>
      <c r="F1667" s="1270"/>
    </row>
    <row r="1668" spans="1:6" ht="17.100000000000001" hidden="1" customHeight="1">
      <c r="A1668" s="901"/>
      <c r="B1668" s="1282"/>
      <c r="C1668" s="1283"/>
      <c r="D1668" s="1296" t="s">
        <v>266</v>
      </c>
      <c r="E1668" s="1297"/>
      <c r="F1668" s="343">
        <f>F1669</f>
        <v>0</v>
      </c>
    </row>
    <row r="1669" spans="1:6" ht="25.5" hidden="1" customHeight="1">
      <c r="A1669" s="901"/>
      <c r="B1669" s="1282"/>
      <c r="C1669" s="1283"/>
      <c r="D1669" s="1290" t="s">
        <v>267</v>
      </c>
      <c r="E1669" s="1291"/>
      <c r="F1669" s="347">
        <f>F1670</f>
        <v>0</v>
      </c>
    </row>
    <row r="1670" spans="1:6" ht="25.5" hidden="1" customHeight="1">
      <c r="A1670" s="901"/>
      <c r="B1670" s="1282"/>
      <c r="C1670" s="1283"/>
      <c r="D1670" s="472" t="s">
        <v>552</v>
      </c>
      <c r="E1670" s="346" t="s">
        <v>553</v>
      </c>
      <c r="F1670" s="347"/>
    </row>
    <row r="1671" spans="1:6" ht="17.100000000000001" customHeight="1">
      <c r="A1671" s="901"/>
      <c r="B1671" s="1278" t="s">
        <v>651</v>
      </c>
      <c r="C1671" s="1279"/>
      <c r="D1671" s="340"/>
      <c r="E1671" s="341" t="s">
        <v>652</v>
      </c>
      <c r="F1671" s="342">
        <f>F1672</f>
        <v>6570000</v>
      </c>
    </row>
    <row r="1672" spans="1:6" ht="17.100000000000001" customHeight="1">
      <c r="A1672" s="901"/>
      <c r="B1672" s="1280"/>
      <c r="C1672" s="1281"/>
      <c r="D1672" s="1284" t="s">
        <v>213</v>
      </c>
      <c r="E1672" s="1285"/>
      <c r="F1672" s="343">
        <f>F1673</f>
        <v>6570000</v>
      </c>
    </row>
    <row r="1673" spans="1:6" ht="17.100000000000001" customHeight="1">
      <c r="A1673" s="901"/>
      <c r="B1673" s="1282"/>
      <c r="C1673" s="1283"/>
      <c r="D1673" s="1286" t="s">
        <v>286</v>
      </c>
      <c r="E1673" s="1294"/>
      <c r="F1673" s="347">
        <f>SUM(F1674:F1675)</f>
        <v>6570000</v>
      </c>
    </row>
    <row r="1674" spans="1:6" ht="17.100000000000001" customHeight="1">
      <c r="A1674" s="901"/>
      <c r="B1674" s="1282"/>
      <c r="C1674" s="1283"/>
      <c r="D1674" s="472" t="s">
        <v>647</v>
      </c>
      <c r="E1674" s="346" t="s">
        <v>648</v>
      </c>
      <c r="F1674" s="347">
        <f>5800000</f>
        <v>5800000</v>
      </c>
    </row>
    <row r="1675" spans="1:6" ht="26.25" customHeight="1">
      <c r="A1675" s="901"/>
      <c r="B1675" s="1267"/>
      <c r="C1675" s="1268"/>
      <c r="D1675" s="472" t="s">
        <v>649</v>
      </c>
      <c r="E1675" s="346" t="s">
        <v>650</v>
      </c>
      <c r="F1675" s="347">
        <f>770000</f>
        <v>770000</v>
      </c>
    </row>
    <row r="1676" spans="1:6" ht="17.100000000000001" hidden="1" customHeight="1">
      <c r="A1676" s="901"/>
      <c r="B1676" s="883"/>
      <c r="C1676" s="449"/>
      <c r="D1676" s="450"/>
      <c r="E1676" s="449"/>
      <c r="F1676" s="451"/>
    </row>
    <row r="1677" spans="1:6" ht="17.100000000000001" hidden="1" customHeight="1">
      <c r="A1677" s="901"/>
      <c r="B1677" s="883"/>
      <c r="C1677" s="462"/>
      <c r="D1677" s="1296" t="s">
        <v>266</v>
      </c>
      <c r="E1677" s="1297"/>
      <c r="F1677" s="897"/>
    </row>
    <row r="1678" spans="1:6" ht="17.100000000000001" hidden="1" customHeight="1">
      <c r="A1678" s="901"/>
      <c r="B1678" s="883"/>
      <c r="C1678" s="462"/>
      <c r="D1678" s="1290" t="s">
        <v>267</v>
      </c>
      <c r="E1678" s="1291"/>
      <c r="F1678" s="422"/>
    </row>
    <row r="1679" spans="1:6" ht="26.25" hidden="1" customHeight="1">
      <c r="A1679" s="901"/>
      <c r="B1679" s="883"/>
      <c r="C1679" s="462"/>
      <c r="D1679" s="472" t="s">
        <v>552</v>
      </c>
      <c r="E1679" s="346" t="s">
        <v>553</v>
      </c>
      <c r="F1679" s="422"/>
    </row>
    <row r="1680" spans="1:6" ht="17.100000000000001" customHeight="1">
      <c r="A1680" s="901"/>
      <c r="B1680" s="1278" t="s">
        <v>653</v>
      </c>
      <c r="C1680" s="1279"/>
      <c r="D1680" s="340"/>
      <c r="E1680" s="341" t="s">
        <v>654</v>
      </c>
      <c r="F1680" s="342">
        <f>F1681+F1686</f>
        <v>8406612</v>
      </c>
    </row>
    <row r="1681" spans="1:6" ht="17.100000000000001" customHeight="1">
      <c r="A1681" s="901"/>
      <c r="B1681" s="1280"/>
      <c r="C1681" s="1281"/>
      <c r="D1681" s="1284" t="s">
        <v>213</v>
      </c>
      <c r="E1681" s="1285"/>
      <c r="F1681" s="343">
        <f>F1682</f>
        <v>5086027</v>
      </c>
    </row>
    <row r="1682" spans="1:6" ht="17.100000000000001" customHeight="1">
      <c r="A1682" s="901"/>
      <c r="B1682" s="1282"/>
      <c r="C1682" s="1283"/>
      <c r="D1682" s="1286" t="s">
        <v>286</v>
      </c>
      <c r="E1682" s="1294"/>
      <c r="F1682" s="347">
        <f>SUM(F1683:F1684)</f>
        <v>5086027</v>
      </c>
    </row>
    <row r="1683" spans="1:6" ht="17.100000000000001" customHeight="1">
      <c r="A1683" s="901"/>
      <c r="B1683" s="1282"/>
      <c r="C1683" s="1283"/>
      <c r="D1683" s="472" t="s">
        <v>647</v>
      </c>
      <c r="E1683" s="346" t="s">
        <v>648</v>
      </c>
      <c r="F1683" s="347">
        <f>4870027</f>
        <v>4870027</v>
      </c>
    </row>
    <row r="1684" spans="1:6" ht="24.75" customHeight="1">
      <c r="A1684" s="901"/>
      <c r="B1684" s="1319"/>
      <c r="C1684" s="1363"/>
      <c r="D1684" s="472" t="s">
        <v>649</v>
      </c>
      <c r="E1684" s="346" t="s">
        <v>650</v>
      </c>
      <c r="F1684" s="347">
        <f>216000</f>
        <v>216000</v>
      </c>
    </row>
    <row r="1685" spans="1:6" ht="18.75" customHeight="1">
      <c r="A1685" s="901"/>
      <c r="B1685" s="1319"/>
      <c r="C1685" s="1363"/>
      <c r="D1685" s="1267"/>
      <c r="E1685" s="1323"/>
      <c r="F1685" s="1324"/>
    </row>
    <row r="1686" spans="1:6" ht="19.5" customHeight="1">
      <c r="A1686" s="901"/>
      <c r="B1686" s="1319"/>
      <c r="C1686" s="1363"/>
      <c r="D1686" s="1296" t="s">
        <v>266</v>
      </c>
      <c r="E1686" s="1332"/>
      <c r="F1686" s="347">
        <f>F1687</f>
        <v>3320585</v>
      </c>
    </row>
    <row r="1687" spans="1:6" ht="20.25" customHeight="1">
      <c r="A1687" s="901"/>
      <c r="B1687" s="1319"/>
      <c r="C1687" s="1363"/>
      <c r="D1687" s="1290" t="s">
        <v>904</v>
      </c>
      <c r="E1687" s="1365"/>
      <c r="F1687" s="347">
        <f>F1689+F1688</f>
        <v>3320585</v>
      </c>
    </row>
    <row r="1688" spans="1:6" ht="47.25" customHeight="1">
      <c r="A1688" s="901"/>
      <c r="B1688" s="1319"/>
      <c r="C1688" s="1363"/>
      <c r="D1688" s="472" t="s">
        <v>350</v>
      </c>
      <c r="E1688" s="372" t="s">
        <v>349</v>
      </c>
      <c r="F1688" s="347">
        <f>3215585</f>
        <v>3215585</v>
      </c>
    </row>
    <row r="1689" spans="1:6" ht="31.5" customHeight="1">
      <c r="A1689" s="901"/>
      <c r="B1689" s="1321"/>
      <c r="C1689" s="1343"/>
      <c r="D1689" s="473" t="s">
        <v>552</v>
      </c>
      <c r="E1689" s="452" t="s">
        <v>553</v>
      </c>
      <c r="F1689" s="347">
        <f>105000</f>
        <v>105000</v>
      </c>
    </row>
    <row r="1690" spans="1:6" ht="17.100000000000001" customHeight="1">
      <c r="A1690" s="901"/>
      <c r="B1690" s="1278" t="s">
        <v>655</v>
      </c>
      <c r="C1690" s="1279"/>
      <c r="D1690" s="340"/>
      <c r="E1690" s="341" t="s">
        <v>656</v>
      </c>
      <c r="F1690" s="342">
        <f>F1691</f>
        <v>533000</v>
      </c>
    </row>
    <row r="1691" spans="1:6" ht="17.100000000000001" customHeight="1">
      <c r="A1691" s="901"/>
      <c r="B1691" s="1280"/>
      <c r="C1691" s="1281"/>
      <c r="D1691" s="1284" t="s">
        <v>213</v>
      </c>
      <c r="E1691" s="1285"/>
      <c r="F1691" s="343">
        <f>F1692</f>
        <v>533000</v>
      </c>
    </row>
    <row r="1692" spans="1:6" ht="17.100000000000001" customHeight="1">
      <c r="A1692" s="901"/>
      <c r="B1692" s="1282"/>
      <c r="C1692" s="1283"/>
      <c r="D1692" s="1286" t="s">
        <v>286</v>
      </c>
      <c r="E1692" s="1294"/>
      <c r="F1692" s="347">
        <f>F1693+F1694</f>
        <v>533000</v>
      </c>
    </row>
    <row r="1693" spans="1:6" ht="17.100000000000001" customHeight="1">
      <c r="A1693" s="901"/>
      <c r="B1693" s="1282"/>
      <c r="C1693" s="1283"/>
      <c r="D1693" s="472" t="s">
        <v>647</v>
      </c>
      <c r="E1693" s="346" t="s">
        <v>648</v>
      </c>
      <c r="F1693" s="347">
        <f>483000</f>
        <v>483000</v>
      </c>
    </row>
    <row r="1694" spans="1:6" ht="25.5" customHeight="1">
      <c r="A1694" s="901"/>
      <c r="B1694" s="1303"/>
      <c r="C1694" s="1308"/>
      <c r="D1694" s="472" t="s">
        <v>649</v>
      </c>
      <c r="E1694" s="346" t="s">
        <v>650</v>
      </c>
      <c r="F1694" s="347">
        <f>50000</f>
        <v>50000</v>
      </c>
    </row>
    <row r="1695" spans="1:6" ht="17.100000000000001" customHeight="1">
      <c r="A1695" s="901"/>
      <c r="B1695" s="1278" t="s">
        <v>657</v>
      </c>
      <c r="C1695" s="1279"/>
      <c r="D1695" s="340"/>
      <c r="E1695" s="341" t="s">
        <v>658</v>
      </c>
      <c r="F1695" s="342">
        <f>F1696+F1701</f>
        <v>1590000</v>
      </c>
    </row>
    <row r="1696" spans="1:6" ht="17.100000000000001" customHeight="1">
      <c r="A1696" s="901"/>
      <c r="B1696" s="364"/>
      <c r="C1696" s="365"/>
      <c r="D1696" s="1284" t="s">
        <v>213</v>
      </c>
      <c r="E1696" s="1285"/>
      <c r="F1696" s="343">
        <f>F1697</f>
        <v>1590000</v>
      </c>
    </row>
    <row r="1697" spans="1:6" ht="17.100000000000001" customHeight="1">
      <c r="A1697" s="901"/>
      <c r="B1697" s="887"/>
      <c r="C1697" s="1283"/>
      <c r="D1697" s="1286" t="s">
        <v>286</v>
      </c>
      <c r="E1697" s="1294"/>
      <c r="F1697" s="347">
        <f>SUM(F1698:F1699)</f>
        <v>1590000</v>
      </c>
    </row>
    <row r="1698" spans="1:6" ht="17.100000000000001" customHeight="1">
      <c r="A1698" s="901"/>
      <c r="B1698" s="367"/>
      <c r="C1698" s="1283"/>
      <c r="D1698" s="472" t="s">
        <v>647</v>
      </c>
      <c r="E1698" s="346" t="s">
        <v>648</v>
      </c>
      <c r="F1698" s="347">
        <f>1590000</f>
        <v>1590000</v>
      </c>
    </row>
    <row r="1699" spans="1:6" ht="25.5" hidden="1">
      <c r="A1699" s="901"/>
      <c r="B1699" s="469"/>
      <c r="C1699" s="1283"/>
      <c r="D1699" s="472" t="s">
        <v>649</v>
      </c>
      <c r="E1699" s="346" t="s">
        <v>650</v>
      </c>
      <c r="F1699" s="347"/>
    </row>
    <row r="1700" spans="1:6" ht="17.100000000000001" hidden="1" customHeight="1">
      <c r="A1700" s="901"/>
      <c r="B1700" s="469"/>
      <c r="C1700" s="1283"/>
      <c r="D1700" s="1267"/>
      <c r="E1700" s="1269"/>
      <c r="F1700" s="1270"/>
    </row>
    <row r="1701" spans="1:6" ht="17.100000000000001" hidden="1" customHeight="1">
      <c r="A1701" s="901"/>
      <c r="B1701" s="469"/>
      <c r="C1701" s="1283"/>
      <c r="D1701" s="1296" t="s">
        <v>266</v>
      </c>
      <c r="E1701" s="1297"/>
      <c r="F1701" s="343">
        <f>F1702</f>
        <v>0</v>
      </c>
    </row>
    <row r="1702" spans="1:6" ht="17.100000000000001" hidden="1" customHeight="1">
      <c r="A1702" s="901"/>
      <c r="B1702" s="469"/>
      <c r="C1702" s="1283"/>
      <c r="D1702" s="1290" t="s">
        <v>267</v>
      </c>
      <c r="E1702" s="1291"/>
      <c r="F1702" s="347">
        <f>F1703</f>
        <v>0</v>
      </c>
    </row>
    <row r="1703" spans="1:6" ht="38.25" hidden="1">
      <c r="A1703" s="901"/>
      <c r="B1703" s="469"/>
      <c r="C1703" s="1308"/>
      <c r="D1703" s="472" t="s">
        <v>552</v>
      </c>
      <c r="E1703" s="346" t="s">
        <v>553</v>
      </c>
      <c r="F1703" s="347"/>
    </row>
    <row r="1704" spans="1:6" ht="17.100000000000001" customHeight="1">
      <c r="A1704" s="901"/>
      <c r="B1704" s="1278" t="s">
        <v>23</v>
      </c>
      <c r="C1704" s="1279"/>
      <c r="D1704" s="340"/>
      <c r="E1704" s="341" t="s">
        <v>24</v>
      </c>
      <c r="F1704" s="342">
        <f>F1705+F1710</f>
        <v>6933870</v>
      </c>
    </row>
    <row r="1705" spans="1:6" ht="17.100000000000001" customHeight="1">
      <c r="A1705" s="901"/>
      <c r="B1705" s="1280"/>
      <c r="C1705" s="1281"/>
      <c r="D1705" s="1284" t="s">
        <v>213</v>
      </c>
      <c r="E1705" s="1285"/>
      <c r="F1705" s="343">
        <f>F1706</f>
        <v>6933870</v>
      </c>
    </row>
    <row r="1706" spans="1:6" ht="17.100000000000001" customHeight="1">
      <c r="A1706" s="901"/>
      <c r="B1706" s="1282"/>
      <c r="C1706" s="1283"/>
      <c r="D1706" s="1286" t="s">
        <v>286</v>
      </c>
      <c r="E1706" s="1294"/>
      <c r="F1706" s="347">
        <f>SUM(F1707:F1708)</f>
        <v>6933870</v>
      </c>
    </row>
    <row r="1707" spans="1:6" ht="17.100000000000001" customHeight="1">
      <c r="A1707" s="901"/>
      <c r="B1707" s="1282"/>
      <c r="C1707" s="1283"/>
      <c r="D1707" s="472" t="s">
        <v>647</v>
      </c>
      <c r="E1707" s="346" t="s">
        <v>648</v>
      </c>
      <c r="F1707" s="347">
        <f>6831870</f>
        <v>6831870</v>
      </c>
    </row>
    <row r="1708" spans="1:6" ht="27" customHeight="1">
      <c r="A1708" s="901"/>
      <c r="B1708" s="1282"/>
      <c r="C1708" s="1283"/>
      <c r="D1708" s="472" t="s">
        <v>649</v>
      </c>
      <c r="E1708" s="346" t="s">
        <v>650</v>
      </c>
      <c r="F1708" s="347">
        <f>102000</f>
        <v>102000</v>
      </c>
    </row>
    <row r="1709" spans="1:6" ht="18.75" hidden="1" customHeight="1">
      <c r="A1709" s="901"/>
      <c r="B1709" s="1282"/>
      <c r="C1709" s="1283"/>
      <c r="D1709" s="1267"/>
      <c r="E1709" s="1269"/>
      <c r="F1709" s="1270"/>
    </row>
    <row r="1710" spans="1:6" ht="17.100000000000001" hidden="1" customHeight="1">
      <c r="A1710" s="901"/>
      <c r="B1710" s="1282"/>
      <c r="C1710" s="1283"/>
      <c r="D1710" s="1296" t="s">
        <v>266</v>
      </c>
      <c r="E1710" s="1297"/>
      <c r="F1710" s="343">
        <f>F1711</f>
        <v>0</v>
      </c>
    </row>
    <row r="1711" spans="1:6" ht="17.100000000000001" hidden="1" customHeight="1">
      <c r="A1711" s="901"/>
      <c r="B1711" s="1282"/>
      <c r="C1711" s="1283"/>
      <c r="D1711" s="1290" t="s">
        <v>267</v>
      </c>
      <c r="E1711" s="1291"/>
      <c r="F1711" s="347">
        <f>F1712</f>
        <v>0</v>
      </c>
    </row>
    <row r="1712" spans="1:6" ht="38.25" hidden="1">
      <c r="A1712" s="901"/>
      <c r="B1712" s="1303"/>
      <c r="C1712" s="1308"/>
      <c r="D1712" s="472" t="s">
        <v>552</v>
      </c>
      <c r="E1712" s="346" t="s">
        <v>553</v>
      </c>
      <c r="F1712" s="347"/>
    </row>
    <row r="1713" spans="1:6" ht="17.100000000000001" customHeight="1">
      <c r="A1713" s="901"/>
      <c r="B1713" s="1278" t="s">
        <v>659</v>
      </c>
      <c r="C1713" s="1279"/>
      <c r="D1713" s="340"/>
      <c r="E1713" s="341" t="s">
        <v>660</v>
      </c>
      <c r="F1713" s="342">
        <f>F1714+F1719</f>
        <v>27461502</v>
      </c>
    </row>
    <row r="1714" spans="1:6" ht="17.100000000000001" customHeight="1">
      <c r="A1714" s="901"/>
      <c r="B1714" s="1280"/>
      <c r="C1714" s="1281"/>
      <c r="D1714" s="1284" t="s">
        <v>213</v>
      </c>
      <c r="E1714" s="1285"/>
      <c r="F1714" s="343">
        <f>F1715</f>
        <v>21155502</v>
      </c>
    </row>
    <row r="1715" spans="1:6" ht="17.100000000000001" customHeight="1">
      <c r="A1715" s="901"/>
      <c r="B1715" s="1282"/>
      <c r="C1715" s="1283"/>
      <c r="D1715" s="1286" t="s">
        <v>286</v>
      </c>
      <c r="E1715" s="1294"/>
      <c r="F1715" s="347">
        <f>SUM(F1716:F1717)</f>
        <v>21155502</v>
      </c>
    </row>
    <row r="1716" spans="1:6" ht="17.100000000000001" customHeight="1">
      <c r="A1716" s="901"/>
      <c r="B1716" s="1282"/>
      <c r="C1716" s="1283"/>
      <c r="D1716" s="472" t="s">
        <v>647</v>
      </c>
      <c r="E1716" s="346" t="s">
        <v>648</v>
      </c>
      <c r="F1716" s="347">
        <f>18302011</f>
        <v>18302011</v>
      </c>
    </row>
    <row r="1717" spans="1:6" ht="27" customHeight="1">
      <c r="A1717" s="901"/>
      <c r="B1717" s="1267"/>
      <c r="C1717" s="1268"/>
      <c r="D1717" s="472" t="s">
        <v>649</v>
      </c>
      <c r="E1717" s="346" t="s">
        <v>650</v>
      </c>
      <c r="F1717" s="347">
        <f>2853491</f>
        <v>2853491</v>
      </c>
    </row>
    <row r="1718" spans="1:6" ht="17.100000000000001" customHeight="1">
      <c r="A1718" s="901"/>
      <c r="B1718" s="883"/>
      <c r="C1718" s="462"/>
      <c r="D1718" s="1267"/>
      <c r="E1718" s="1269"/>
      <c r="F1718" s="1270"/>
    </row>
    <row r="1719" spans="1:6" ht="17.100000000000001" customHeight="1">
      <c r="A1719" s="901"/>
      <c r="B1719" s="883"/>
      <c r="C1719" s="462"/>
      <c r="D1719" s="1296" t="s">
        <v>266</v>
      </c>
      <c r="E1719" s="1297"/>
      <c r="F1719" s="343">
        <f>F1720</f>
        <v>6306000</v>
      </c>
    </row>
    <row r="1720" spans="1:6" ht="17.100000000000001" customHeight="1">
      <c r="A1720" s="901"/>
      <c r="B1720" s="883"/>
      <c r="C1720" s="462"/>
      <c r="D1720" s="1290" t="s">
        <v>904</v>
      </c>
      <c r="E1720" s="1291"/>
      <c r="F1720" s="347">
        <f>F1721</f>
        <v>6306000</v>
      </c>
    </row>
    <row r="1721" spans="1:6" ht="38.25">
      <c r="A1721" s="901"/>
      <c r="B1721" s="1299"/>
      <c r="C1721" s="1300"/>
      <c r="D1721" s="472" t="s">
        <v>552</v>
      </c>
      <c r="E1721" s="346" t="s">
        <v>553</v>
      </c>
      <c r="F1721" s="347">
        <f>6306000</f>
        <v>6306000</v>
      </c>
    </row>
    <row r="1722" spans="1:6" ht="17.100000000000001" customHeight="1">
      <c r="A1722" s="901"/>
      <c r="B1722" s="1278" t="s">
        <v>4</v>
      </c>
      <c r="C1722" s="1279"/>
      <c r="D1722" s="340"/>
      <c r="E1722" s="341" t="s">
        <v>661</v>
      </c>
      <c r="F1722" s="342">
        <f>F1723+F1727</f>
        <v>2670672</v>
      </c>
    </row>
    <row r="1723" spans="1:6" ht="17.100000000000001" customHeight="1">
      <c r="A1723" s="901"/>
      <c r="B1723" s="898"/>
      <c r="C1723" s="468"/>
      <c r="D1723" s="1284" t="s">
        <v>213</v>
      </c>
      <c r="E1723" s="1285"/>
      <c r="F1723" s="343">
        <f>F1724</f>
        <v>1500000</v>
      </c>
    </row>
    <row r="1724" spans="1:6" ht="17.100000000000001" customHeight="1">
      <c r="A1724" s="901"/>
      <c r="B1724" s="898"/>
      <c r="C1724" s="468"/>
      <c r="D1724" s="1286" t="s">
        <v>286</v>
      </c>
      <c r="E1724" s="1294"/>
      <c r="F1724" s="347">
        <f>F1725</f>
        <v>1500000</v>
      </c>
    </row>
    <row r="1725" spans="1:6" ht="41.25" customHeight="1">
      <c r="A1725" s="901"/>
      <c r="B1725" s="1267"/>
      <c r="C1725" s="1268"/>
      <c r="D1725" s="472" t="s">
        <v>662</v>
      </c>
      <c r="E1725" s="346" t="s">
        <v>663</v>
      </c>
      <c r="F1725" s="347">
        <f>1500000</f>
        <v>1500000</v>
      </c>
    </row>
    <row r="1726" spans="1:6" ht="17.100000000000001" customHeight="1">
      <c r="A1726" s="901"/>
      <c r="B1726" s="883"/>
      <c r="C1726" s="462"/>
      <c r="D1726" s="1267"/>
      <c r="E1726" s="1269"/>
      <c r="F1726" s="1270"/>
    </row>
    <row r="1727" spans="1:6" ht="17.100000000000001" customHeight="1">
      <c r="A1727" s="901"/>
      <c r="B1727" s="883"/>
      <c r="C1727" s="462"/>
      <c r="D1727" s="1296" t="s">
        <v>266</v>
      </c>
      <c r="E1727" s="1297"/>
      <c r="F1727" s="343">
        <f>F1728</f>
        <v>1170672</v>
      </c>
    </row>
    <row r="1728" spans="1:6" ht="17.100000000000001" customHeight="1">
      <c r="A1728" s="901"/>
      <c r="B1728" s="883"/>
      <c r="C1728" s="462"/>
      <c r="D1728" s="1290" t="s">
        <v>904</v>
      </c>
      <c r="E1728" s="1291"/>
      <c r="F1728" s="347">
        <f>F1729</f>
        <v>1170672</v>
      </c>
    </row>
    <row r="1729" spans="1:7" ht="38.25">
      <c r="A1729" s="901"/>
      <c r="B1729" s="883"/>
      <c r="C1729" s="462"/>
      <c r="D1729" s="472" t="s">
        <v>350</v>
      </c>
      <c r="E1729" s="346" t="s">
        <v>349</v>
      </c>
      <c r="F1729" s="347">
        <f>1170672</f>
        <v>1170672</v>
      </c>
      <c r="G1729" s="368"/>
    </row>
    <row r="1730" spans="1:7" ht="17.100000000000001" customHeight="1">
      <c r="A1730" s="901"/>
      <c r="B1730" s="1278" t="s">
        <v>664</v>
      </c>
      <c r="C1730" s="1279"/>
      <c r="D1730" s="340"/>
      <c r="E1730" s="341" t="s">
        <v>332</v>
      </c>
      <c r="F1730" s="342">
        <f>F1731+F1737</f>
        <v>2552987</v>
      </c>
    </row>
    <row r="1731" spans="1:7" ht="17.100000000000001" customHeight="1">
      <c r="A1731" s="901"/>
      <c r="B1731" s="1465"/>
      <c r="C1731" s="1466"/>
      <c r="D1731" s="1296" t="s">
        <v>213</v>
      </c>
      <c r="E1731" s="1297"/>
      <c r="F1731" s="343">
        <f>F1732</f>
        <v>175000</v>
      </c>
    </row>
    <row r="1732" spans="1:7" ht="17.100000000000001" customHeight="1">
      <c r="A1732" s="901"/>
      <c r="B1732" s="1465"/>
      <c r="C1732" s="1466"/>
      <c r="D1732" s="1286" t="s">
        <v>214</v>
      </c>
      <c r="E1732" s="1294"/>
      <c r="F1732" s="347">
        <f>F1733</f>
        <v>175000</v>
      </c>
    </row>
    <row r="1733" spans="1:7" ht="17.100000000000001" customHeight="1">
      <c r="A1733" s="901"/>
      <c r="B1733" s="1465"/>
      <c r="C1733" s="1466"/>
      <c r="D1733" s="1292" t="s">
        <v>226</v>
      </c>
      <c r="E1733" s="1293"/>
      <c r="F1733" s="347">
        <f>SUM(F1734:F1735)</f>
        <v>175000</v>
      </c>
    </row>
    <row r="1734" spans="1:7" ht="17.100000000000001" customHeight="1">
      <c r="A1734" s="901"/>
      <c r="B1734" s="1465"/>
      <c r="C1734" s="1466"/>
      <c r="D1734" s="472" t="s">
        <v>229</v>
      </c>
      <c r="E1734" s="346" t="s">
        <v>230</v>
      </c>
      <c r="F1734" s="347">
        <f>7000</f>
        <v>7000</v>
      </c>
    </row>
    <row r="1735" spans="1:7" ht="17.100000000000001" customHeight="1">
      <c r="A1735" s="901"/>
      <c r="B1735" s="1465"/>
      <c r="C1735" s="1466"/>
      <c r="D1735" s="472" t="s">
        <v>237</v>
      </c>
      <c r="E1735" s="346" t="s">
        <v>238</v>
      </c>
      <c r="F1735" s="347">
        <f>168000</f>
        <v>168000</v>
      </c>
    </row>
    <row r="1736" spans="1:7" ht="17.100000000000001" customHeight="1">
      <c r="A1736" s="901"/>
      <c r="B1736" s="1465"/>
      <c r="C1736" s="1466"/>
      <c r="D1736" s="1267"/>
      <c r="E1736" s="1269"/>
      <c r="F1736" s="1270"/>
    </row>
    <row r="1737" spans="1:7" ht="17.100000000000001" customHeight="1">
      <c r="A1737" s="901"/>
      <c r="B1737" s="1465"/>
      <c r="C1737" s="1466"/>
      <c r="D1737" s="1296" t="s">
        <v>266</v>
      </c>
      <c r="E1737" s="1297"/>
      <c r="F1737" s="343">
        <f>F1738</f>
        <v>2377987</v>
      </c>
    </row>
    <row r="1738" spans="1:7" ht="17.100000000000001" customHeight="1">
      <c r="A1738" s="901"/>
      <c r="B1738" s="1465"/>
      <c r="C1738" s="1466"/>
      <c r="D1738" s="1290" t="s">
        <v>904</v>
      </c>
      <c r="E1738" s="1291"/>
      <c r="F1738" s="347">
        <f>F1740+F1739</f>
        <v>2377987</v>
      </c>
    </row>
    <row r="1739" spans="1:7" ht="17.100000000000001" customHeight="1">
      <c r="A1739" s="901"/>
      <c r="B1739" s="1465"/>
      <c r="C1739" s="1466"/>
      <c r="D1739" s="472" t="s">
        <v>268</v>
      </c>
      <c r="E1739" s="346" t="s">
        <v>269</v>
      </c>
      <c r="F1739" s="347">
        <v>150000</v>
      </c>
    </row>
    <row r="1740" spans="1:7" ht="39" customHeight="1">
      <c r="A1740" s="901"/>
      <c r="B1740" s="1465"/>
      <c r="C1740" s="1466"/>
      <c r="D1740" s="472" t="s">
        <v>350</v>
      </c>
      <c r="E1740" s="346" t="s">
        <v>349</v>
      </c>
      <c r="F1740" s="347">
        <f>2227987</f>
        <v>2227987</v>
      </c>
      <c r="G1740" s="368"/>
    </row>
    <row r="1741" spans="1:7" ht="27.75" customHeight="1">
      <c r="A1741" s="900" t="s">
        <v>665</v>
      </c>
      <c r="B1741" s="1276"/>
      <c r="C1741" s="1277"/>
      <c r="D1741" s="337"/>
      <c r="E1741" s="338" t="s">
        <v>666</v>
      </c>
      <c r="F1741" s="339">
        <f>F1742</f>
        <v>1116024</v>
      </c>
    </row>
    <row r="1742" spans="1:7" ht="17.100000000000001" customHeight="1">
      <c r="A1742" s="901"/>
      <c r="B1742" s="1278" t="s">
        <v>667</v>
      </c>
      <c r="C1742" s="1279"/>
      <c r="D1742" s="340"/>
      <c r="E1742" s="341" t="s">
        <v>668</v>
      </c>
      <c r="F1742" s="342">
        <f>F1743+F1774</f>
        <v>1116024</v>
      </c>
    </row>
    <row r="1743" spans="1:7" ht="17.100000000000001" customHeight="1">
      <c r="A1743" s="901"/>
      <c r="B1743" s="883"/>
      <c r="C1743" s="462"/>
      <c r="D1743" s="1284" t="s">
        <v>213</v>
      </c>
      <c r="E1743" s="1285"/>
      <c r="F1743" s="343">
        <f>F1744+F1771</f>
        <v>1102024</v>
      </c>
    </row>
    <row r="1744" spans="1:7" ht="17.100000000000001" customHeight="1">
      <c r="A1744" s="901"/>
      <c r="B1744" s="883"/>
      <c r="C1744" s="462"/>
      <c r="D1744" s="1453" t="s">
        <v>214</v>
      </c>
      <c r="E1744" s="1454"/>
      <c r="F1744" s="347">
        <f>F1745+F1752</f>
        <v>1063764</v>
      </c>
    </row>
    <row r="1745" spans="1:6" ht="17.100000000000001" customHeight="1">
      <c r="A1745" s="901"/>
      <c r="B1745" s="883"/>
      <c r="C1745" s="462"/>
      <c r="D1745" s="1459" t="s">
        <v>215</v>
      </c>
      <c r="E1745" s="1460"/>
      <c r="F1745" s="347">
        <f>SUM(F1746:F1750)</f>
        <v>732644</v>
      </c>
    </row>
    <row r="1746" spans="1:6" ht="17.100000000000001" customHeight="1">
      <c r="A1746" s="901"/>
      <c r="B1746" s="1267"/>
      <c r="C1746" s="1268"/>
      <c r="D1746" s="472" t="s">
        <v>216</v>
      </c>
      <c r="E1746" s="346" t="s">
        <v>217</v>
      </c>
      <c r="F1746" s="347">
        <f>567772</f>
        <v>567772</v>
      </c>
    </row>
    <row r="1747" spans="1:6" ht="17.100000000000001" customHeight="1">
      <c r="A1747" s="901"/>
      <c r="B1747" s="1267"/>
      <c r="C1747" s="1268"/>
      <c r="D1747" s="472" t="s">
        <v>218</v>
      </c>
      <c r="E1747" s="346" t="s">
        <v>219</v>
      </c>
      <c r="F1747" s="347">
        <f>43600</f>
        <v>43600</v>
      </c>
    </row>
    <row r="1748" spans="1:6" ht="17.100000000000001" customHeight="1">
      <c r="A1748" s="901"/>
      <c r="B1748" s="1267"/>
      <c r="C1748" s="1268"/>
      <c r="D1748" s="472" t="s">
        <v>220</v>
      </c>
      <c r="E1748" s="346" t="s">
        <v>221</v>
      </c>
      <c r="F1748" s="347">
        <f>100609</f>
        <v>100609</v>
      </c>
    </row>
    <row r="1749" spans="1:6" ht="17.100000000000001" customHeight="1">
      <c r="A1749" s="901"/>
      <c r="B1749" s="1267"/>
      <c r="C1749" s="1268"/>
      <c r="D1749" s="472" t="s">
        <v>222</v>
      </c>
      <c r="E1749" s="346" t="s">
        <v>223</v>
      </c>
      <c r="F1749" s="347">
        <f>12163</f>
        <v>12163</v>
      </c>
    </row>
    <row r="1750" spans="1:6" ht="17.100000000000001" customHeight="1">
      <c r="A1750" s="901"/>
      <c r="B1750" s="1267"/>
      <c r="C1750" s="1268"/>
      <c r="D1750" s="472" t="s">
        <v>224</v>
      </c>
      <c r="E1750" s="346" t="s">
        <v>225</v>
      </c>
      <c r="F1750" s="347">
        <f>8500</f>
        <v>8500</v>
      </c>
    </row>
    <row r="1751" spans="1:6" ht="17.100000000000001" customHeight="1">
      <c r="A1751" s="901"/>
      <c r="B1751" s="883"/>
      <c r="C1751" s="462"/>
      <c r="D1751" s="1267"/>
      <c r="E1751" s="1269"/>
      <c r="F1751" s="1270"/>
    </row>
    <row r="1752" spans="1:6" ht="17.100000000000001" customHeight="1">
      <c r="A1752" s="901"/>
      <c r="B1752" s="883"/>
      <c r="C1752" s="462"/>
      <c r="D1752" s="1292" t="s">
        <v>226</v>
      </c>
      <c r="E1752" s="1293"/>
      <c r="F1752" s="347">
        <f>SUM(F1753:F1769)</f>
        <v>331120</v>
      </c>
    </row>
    <row r="1753" spans="1:6" ht="17.100000000000001" customHeight="1">
      <c r="A1753" s="901"/>
      <c r="B1753" s="1267"/>
      <c r="C1753" s="1268"/>
      <c r="D1753" s="472" t="s">
        <v>229</v>
      </c>
      <c r="E1753" s="346" t="s">
        <v>230</v>
      </c>
      <c r="F1753" s="347">
        <f>52654</f>
        <v>52654</v>
      </c>
    </row>
    <row r="1754" spans="1:6" ht="17.100000000000001" customHeight="1">
      <c r="A1754" s="901"/>
      <c r="B1754" s="1267"/>
      <c r="C1754" s="1268"/>
      <c r="D1754" s="472" t="s">
        <v>405</v>
      </c>
      <c r="E1754" s="346" t="s">
        <v>406</v>
      </c>
      <c r="F1754" s="347">
        <f>1700</f>
        <v>1700</v>
      </c>
    </row>
    <row r="1755" spans="1:6" ht="17.100000000000001" customHeight="1">
      <c r="A1755" s="901"/>
      <c r="B1755" s="1267"/>
      <c r="C1755" s="1268"/>
      <c r="D1755" s="472" t="s">
        <v>231</v>
      </c>
      <c r="E1755" s="346" t="s">
        <v>232</v>
      </c>
      <c r="F1755" s="347">
        <f>35200</f>
        <v>35200</v>
      </c>
    </row>
    <row r="1756" spans="1:6" ht="17.100000000000001" customHeight="1">
      <c r="A1756" s="901"/>
      <c r="B1756" s="1267"/>
      <c r="C1756" s="1268"/>
      <c r="D1756" s="472" t="s">
        <v>233</v>
      </c>
      <c r="E1756" s="346" t="s">
        <v>234</v>
      </c>
      <c r="F1756" s="347">
        <f>5000</f>
        <v>5000</v>
      </c>
    </row>
    <row r="1757" spans="1:6" ht="17.100000000000001" customHeight="1">
      <c r="A1757" s="901"/>
      <c r="B1757" s="1267"/>
      <c r="C1757" s="1268"/>
      <c r="D1757" s="472" t="s">
        <v>235</v>
      </c>
      <c r="E1757" s="346" t="s">
        <v>236</v>
      </c>
      <c r="F1757" s="347">
        <f>1100</f>
        <v>1100</v>
      </c>
    </row>
    <row r="1758" spans="1:6" ht="17.100000000000001" customHeight="1">
      <c r="A1758" s="901"/>
      <c r="B1758" s="1267"/>
      <c r="C1758" s="1268"/>
      <c r="D1758" s="472" t="s">
        <v>237</v>
      </c>
      <c r="E1758" s="346" t="s">
        <v>238</v>
      </c>
      <c r="F1758" s="347">
        <f>127904</f>
        <v>127904</v>
      </c>
    </row>
    <row r="1759" spans="1:6" ht="17.100000000000001" customHeight="1">
      <c r="A1759" s="901"/>
      <c r="B1759" s="1267"/>
      <c r="C1759" s="1268"/>
      <c r="D1759" s="472" t="s">
        <v>239</v>
      </c>
      <c r="E1759" s="346" t="s">
        <v>240</v>
      </c>
      <c r="F1759" s="347">
        <f>1150</f>
        <v>1150</v>
      </c>
    </row>
    <row r="1760" spans="1:6" ht="28.5" customHeight="1">
      <c r="A1760" s="901"/>
      <c r="B1760" s="1267"/>
      <c r="C1760" s="1268"/>
      <c r="D1760" s="472" t="s">
        <v>241</v>
      </c>
      <c r="E1760" s="346" t="s">
        <v>242</v>
      </c>
      <c r="F1760" s="347">
        <f>2850</f>
        <v>2850</v>
      </c>
    </row>
    <row r="1761" spans="1:6" ht="26.25" customHeight="1">
      <c r="A1761" s="901"/>
      <c r="B1761" s="1267"/>
      <c r="C1761" s="1268"/>
      <c r="D1761" s="472" t="s">
        <v>243</v>
      </c>
      <c r="E1761" s="346" t="s">
        <v>244</v>
      </c>
      <c r="F1761" s="347">
        <f>4000</f>
        <v>4000</v>
      </c>
    </row>
    <row r="1762" spans="1:6" ht="20.25" customHeight="1">
      <c r="A1762" s="901"/>
      <c r="B1762" s="1267"/>
      <c r="C1762" s="1268"/>
      <c r="D1762" s="472" t="s">
        <v>247</v>
      </c>
      <c r="E1762" s="346" t="s">
        <v>248</v>
      </c>
      <c r="F1762" s="347">
        <f>60700</f>
        <v>60700</v>
      </c>
    </row>
    <row r="1763" spans="1:6" ht="17.100000000000001" customHeight="1">
      <c r="A1763" s="901"/>
      <c r="B1763" s="1267"/>
      <c r="C1763" s="1268"/>
      <c r="D1763" s="472" t="s">
        <v>249</v>
      </c>
      <c r="E1763" s="346" t="s">
        <v>250</v>
      </c>
      <c r="F1763" s="347">
        <f>4600</f>
        <v>4600</v>
      </c>
    </row>
    <row r="1764" spans="1:6" ht="17.100000000000001" customHeight="1">
      <c r="A1764" s="901"/>
      <c r="B1764" s="1267"/>
      <c r="C1764" s="1268"/>
      <c r="D1764" s="472" t="s">
        <v>311</v>
      </c>
      <c r="E1764" s="346" t="s">
        <v>312</v>
      </c>
      <c r="F1764" s="347">
        <f>500</f>
        <v>500</v>
      </c>
    </row>
    <row r="1765" spans="1:6" ht="17.100000000000001" customHeight="1">
      <c r="A1765" s="901"/>
      <c r="B1765" s="1267"/>
      <c r="C1765" s="1268"/>
      <c r="D1765" s="472" t="s">
        <v>251</v>
      </c>
      <c r="E1765" s="346" t="s">
        <v>252</v>
      </c>
      <c r="F1765" s="347">
        <f>10000</f>
        <v>10000</v>
      </c>
    </row>
    <row r="1766" spans="1:6" ht="17.100000000000001" customHeight="1">
      <c r="A1766" s="901"/>
      <c r="B1766" s="1267"/>
      <c r="C1766" s="1268"/>
      <c r="D1766" s="472" t="s">
        <v>253</v>
      </c>
      <c r="E1766" s="346" t="s">
        <v>254</v>
      </c>
      <c r="F1766" s="347">
        <f>15862</f>
        <v>15862</v>
      </c>
    </row>
    <row r="1767" spans="1:6" ht="17.100000000000001" customHeight="1">
      <c r="A1767" s="901"/>
      <c r="B1767" s="1267"/>
      <c r="C1767" s="1268"/>
      <c r="D1767" s="472" t="s">
        <v>255</v>
      </c>
      <c r="E1767" s="346" t="s">
        <v>256</v>
      </c>
      <c r="F1767" s="347">
        <f>4400</f>
        <v>4400</v>
      </c>
    </row>
    <row r="1768" spans="1:6" ht="17.100000000000001" customHeight="1">
      <c r="A1768" s="901"/>
      <c r="B1768" s="883"/>
      <c r="C1768" s="462"/>
      <c r="D1768" s="472" t="s">
        <v>259</v>
      </c>
      <c r="E1768" s="346" t="s">
        <v>669</v>
      </c>
      <c r="F1768" s="347">
        <f>1500</f>
        <v>1500</v>
      </c>
    </row>
    <row r="1769" spans="1:6" ht="17.100000000000001" customHeight="1">
      <c r="A1769" s="901"/>
      <c r="B1769" s="1267"/>
      <c r="C1769" s="1268"/>
      <c r="D1769" s="472" t="s">
        <v>261</v>
      </c>
      <c r="E1769" s="346" t="s">
        <v>262</v>
      </c>
      <c r="F1769" s="347">
        <f>2000</f>
        <v>2000</v>
      </c>
    </row>
    <row r="1770" spans="1:6" ht="17.100000000000001" customHeight="1">
      <c r="A1770" s="901"/>
      <c r="B1770" s="883"/>
      <c r="C1770" s="462"/>
      <c r="D1770" s="1267"/>
      <c r="E1770" s="1269"/>
      <c r="F1770" s="1270"/>
    </row>
    <row r="1771" spans="1:6" ht="17.100000000000001" customHeight="1">
      <c r="A1771" s="901"/>
      <c r="B1771" s="883"/>
      <c r="C1771" s="462"/>
      <c r="D1771" s="1290" t="s">
        <v>263</v>
      </c>
      <c r="E1771" s="1291"/>
      <c r="F1771" s="347">
        <f>F1772</f>
        <v>38260</v>
      </c>
    </row>
    <row r="1772" spans="1:6" ht="17.100000000000001" customHeight="1">
      <c r="A1772" s="901"/>
      <c r="B1772" s="883"/>
      <c r="C1772" s="462"/>
      <c r="D1772" s="472" t="s">
        <v>264</v>
      </c>
      <c r="E1772" s="346" t="s">
        <v>265</v>
      </c>
      <c r="F1772" s="347">
        <v>38260</v>
      </c>
    </row>
    <row r="1773" spans="1:6" ht="17.100000000000001" customHeight="1">
      <c r="A1773" s="901"/>
      <c r="B1773" s="883"/>
      <c r="C1773" s="462"/>
      <c r="D1773" s="1267"/>
      <c r="E1773" s="1269"/>
      <c r="F1773" s="1270"/>
    </row>
    <row r="1774" spans="1:6" ht="17.100000000000001" customHeight="1">
      <c r="A1774" s="901"/>
      <c r="B1774" s="883"/>
      <c r="C1774" s="462"/>
      <c r="D1774" s="1296" t="s">
        <v>266</v>
      </c>
      <c r="E1774" s="1297"/>
      <c r="F1774" s="347">
        <f>F1775</f>
        <v>14000</v>
      </c>
    </row>
    <row r="1775" spans="1:6" ht="17.100000000000001" customHeight="1">
      <c r="A1775" s="901"/>
      <c r="B1775" s="883"/>
      <c r="C1775" s="462"/>
      <c r="D1775" s="1290" t="s">
        <v>904</v>
      </c>
      <c r="E1775" s="1291"/>
      <c r="F1775" s="347">
        <f>F1776</f>
        <v>14000</v>
      </c>
    </row>
    <row r="1776" spans="1:6" ht="17.100000000000001" customHeight="1">
      <c r="A1776" s="901"/>
      <c r="B1776" s="883"/>
      <c r="C1776" s="462"/>
      <c r="D1776" s="353" t="s">
        <v>270</v>
      </c>
      <c r="E1776" s="346" t="s">
        <v>271</v>
      </c>
      <c r="F1776" s="347">
        <f>14000</f>
        <v>14000</v>
      </c>
    </row>
    <row r="1777" spans="1:6" ht="17.100000000000001" customHeight="1">
      <c r="A1777" s="902" t="s">
        <v>34</v>
      </c>
      <c r="B1777" s="1467"/>
      <c r="C1777" s="1468"/>
      <c r="D1777" s="410"/>
      <c r="E1777" s="338" t="s">
        <v>670</v>
      </c>
      <c r="F1777" s="339">
        <f>F1778</f>
        <v>2764132</v>
      </c>
    </row>
    <row r="1778" spans="1:6" ht="17.100000000000001" customHeight="1">
      <c r="A1778" s="1354"/>
      <c r="B1778" s="1486" t="s">
        <v>35</v>
      </c>
      <c r="C1778" s="1487"/>
      <c r="D1778" s="459"/>
      <c r="E1778" s="453" t="s">
        <v>671</v>
      </c>
      <c r="F1778" s="342">
        <f>F1779</f>
        <v>2764132</v>
      </c>
    </row>
    <row r="1779" spans="1:6" ht="17.100000000000001" customHeight="1">
      <c r="A1779" s="1355"/>
      <c r="B1779" s="1488"/>
      <c r="C1779" s="1489"/>
      <c r="D1779" s="1490" t="s">
        <v>213</v>
      </c>
      <c r="E1779" s="1491"/>
      <c r="F1779" s="343">
        <f>F1780+F1789+F1793</f>
        <v>2764132</v>
      </c>
    </row>
    <row r="1780" spans="1:6" ht="17.100000000000001" customHeight="1">
      <c r="A1780" s="1355"/>
      <c r="B1780" s="1269"/>
      <c r="C1780" s="1270"/>
      <c r="D1780" s="1492" t="s">
        <v>214</v>
      </c>
      <c r="E1780" s="1454"/>
      <c r="F1780" s="347">
        <f>F1781+F1785</f>
        <v>34400</v>
      </c>
    </row>
    <row r="1781" spans="1:6" ht="17.100000000000001" customHeight="1">
      <c r="A1781" s="1355"/>
      <c r="B1781" s="1269"/>
      <c r="C1781" s="1270"/>
      <c r="D1781" s="1493" t="s">
        <v>215</v>
      </c>
      <c r="E1781" s="1460"/>
      <c r="F1781" s="347">
        <f>SUM(F1782:F1783)</f>
        <v>8900</v>
      </c>
    </row>
    <row r="1782" spans="1:6" ht="17.100000000000001" customHeight="1">
      <c r="A1782" s="1355"/>
      <c r="B1782" s="1269"/>
      <c r="C1782" s="1270"/>
      <c r="D1782" s="474" t="s">
        <v>220</v>
      </c>
      <c r="E1782" s="346" t="s">
        <v>221</v>
      </c>
      <c r="F1782" s="347">
        <f>8000</f>
        <v>8000</v>
      </c>
    </row>
    <row r="1783" spans="1:6" ht="17.100000000000001" customHeight="1">
      <c r="A1783" s="1355"/>
      <c r="B1783" s="1269"/>
      <c r="C1783" s="1270"/>
      <c r="D1783" s="474" t="s">
        <v>222</v>
      </c>
      <c r="E1783" s="346" t="s">
        <v>223</v>
      </c>
      <c r="F1783" s="347">
        <f>900</f>
        <v>900</v>
      </c>
    </row>
    <row r="1784" spans="1:6" ht="17.100000000000001" customHeight="1">
      <c r="A1784" s="1355"/>
      <c r="B1784" s="1269"/>
      <c r="C1784" s="1270"/>
      <c r="D1784" s="1406"/>
      <c r="E1784" s="1269"/>
      <c r="F1784" s="1270"/>
    </row>
    <row r="1785" spans="1:6" ht="17.100000000000001" customHeight="1">
      <c r="A1785" s="1355"/>
      <c r="B1785" s="1269"/>
      <c r="C1785" s="1270"/>
      <c r="D1785" s="1494" t="s">
        <v>226</v>
      </c>
      <c r="E1785" s="1293"/>
      <c r="F1785" s="347">
        <f>SUM(F1786:F1787)</f>
        <v>25500</v>
      </c>
    </row>
    <row r="1786" spans="1:6" ht="17.100000000000001" customHeight="1">
      <c r="A1786" s="1355"/>
      <c r="B1786" s="1269"/>
      <c r="C1786" s="1270"/>
      <c r="D1786" s="474" t="s">
        <v>229</v>
      </c>
      <c r="E1786" s="346" t="s">
        <v>230</v>
      </c>
      <c r="F1786" s="347">
        <f>22500</f>
        <v>22500</v>
      </c>
    </row>
    <row r="1787" spans="1:6" ht="17.100000000000001" customHeight="1">
      <c r="A1787" s="1355"/>
      <c r="B1787" s="1269"/>
      <c r="C1787" s="1270"/>
      <c r="D1787" s="477" t="s">
        <v>237</v>
      </c>
      <c r="E1787" s="354" t="s">
        <v>238</v>
      </c>
      <c r="F1787" s="355">
        <f>3000</f>
        <v>3000</v>
      </c>
    </row>
    <row r="1788" spans="1:6" ht="17.100000000000001" customHeight="1">
      <c r="A1788" s="1355"/>
      <c r="B1788" s="1269"/>
      <c r="C1788" s="1270"/>
      <c r="D1788" s="1378"/>
      <c r="E1788" s="1379"/>
      <c r="F1788" s="1380"/>
    </row>
    <row r="1789" spans="1:6" ht="17.100000000000001" customHeight="1">
      <c r="A1789" s="1355"/>
      <c r="B1789" s="1269"/>
      <c r="C1789" s="1270"/>
      <c r="D1789" s="1451" t="s">
        <v>672</v>
      </c>
      <c r="E1789" s="1495"/>
      <c r="F1789" s="347">
        <f>SUM(F1790:F1791)</f>
        <v>2171732</v>
      </c>
    </row>
    <row r="1790" spans="1:6" ht="38.25">
      <c r="A1790" s="1355"/>
      <c r="B1790" s="1269"/>
      <c r="C1790" s="1270"/>
      <c r="D1790" s="474" t="s">
        <v>337</v>
      </c>
      <c r="E1790" s="346" t="s">
        <v>338</v>
      </c>
      <c r="F1790" s="347">
        <f>121732</f>
        <v>121732</v>
      </c>
    </row>
    <row r="1791" spans="1:6" ht="25.5">
      <c r="A1791" s="1355"/>
      <c r="B1791" s="1269"/>
      <c r="C1791" s="1270"/>
      <c r="D1791" s="477" t="s">
        <v>673</v>
      </c>
      <c r="E1791" s="354" t="s">
        <v>674</v>
      </c>
      <c r="F1791" s="355">
        <f>2050000</f>
        <v>2050000</v>
      </c>
    </row>
    <row r="1792" spans="1:6" ht="17.100000000000001" customHeight="1">
      <c r="A1792" s="1355"/>
      <c r="B1792" s="1269"/>
      <c r="C1792" s="1270"/>
      <c r="D1792" s="1378"/>
      <c r="E1792" s="1379"/>
      <c r="F1792" s="1380"/>
    </row>
    <row r="1793" spans="1:7" ht="17.100000000000001" customHeight="1">
      <c r="A1793" s="1355"/>
      <c r="B1793" s="1269"/>
      <c r="C1793" s="1270"/>
      <c r="D1793" s="1449" t="s">
        <v>263</v>
      </c>
      <c r="E1793" s="1480"/>
      <c r="F1793" s="347">
        <f>SUM(F1794:F1795)</f>
        <v>558000</v>
      </c>
    </row>
    <row r="1794" spans="1:7" ht="17.100000000000001" customHeight="1">
      <c r="A1794" s="1355"/>
      <c r="B1794" s="1269"/>
      <c r="C1794" s="1270"/>
      <c r="D1794" s="474" t="s">
        <v>532</v>
      </c>
      <c r="E1794" s="346" t="s">
        <v>444</v>
      </c>
      <c r="F1794" s="347">
        <f>72000</f>
        <v>72000</v>
      </c>
    </row>
    <row r="1795" spans="1:7" ht="17.100000000000001" customHeight="1">
      <c r="A1795" s="1355"/>
      <c r="B1795" s="1269"/>
      <c r="C1795" s="1270"/>
      <c r="D1795" s="1115" t="s">
        <v>543</v>
      </c>
      <c r="E1795" s="1116" t="s">
        <v>544</v>
      </c>
      <c r="F1795" s="347">
        <f>486000</f>
        <v>486000</v>
      </c>
    </row>
    <row r="1796" spans="1:7" ht="17.100000000000001" customHeight="1">
      <c r="A1796" s="1481" t="s">
        <v>675</v>
      </c>
      <c r="B1796" s="1481"/>
      <c r="C1796" s="1481"/>
      <c r="D1796" s="1481"/>
      <c r="E1796" s="1481"/>
      <c r="F1796" s="339">
        <f>F6+F217+F251+F264+F273+F295+F398+F437+F452+F538+F562+F594+F842+F848+F873+F882+F892+F1172+F1189+F1266+F1430+F1569+F1619+F1653+F1741+F1777</f>
        <v>1285834204</v>
      </c>
    </row>
    <row r="1797" spans="1:7" ht="10.5" customHeight="1">
      <c r="A1797" s="1482"/>
      <c r="B1797" s="1482"/>
      <c r="C1797" s="1482"/>
      <c r="D1797" s="1482"/>
      <c r="E1797" s="1482"/>
      <c r="F1797" s="1483"/>
    </row>
    <row r="1798" spans="1:7" ht="17.100000000000001" customHeight="1">
      <c r="A1798" s="1484" t="s">
        <v>2</v>
      </c>
      <c r="B1798" s="1484"/>
      <c r="C1798" s="1484"/>
      <c r="D1798" s="1484"/>
      <c r="E1798" s="1484"/>
      <c r="F1798" s="454"/>
    </row>
    <row r="1799" spans="1:7" ht="24" customHeight="1">
      <c r="A1799" s="1485" t="s">
        <v>676</v>
      </c>
      <c r="B1799" s="1485"/>
      <c r="C1799" s="1485"/>
      <c r="D1799" s="1485"/>
      <c r="E1799" s="1485"/>
      <c r="F1799" s="455">
        <f>F1800+F1803+F1804+F1805+F1806+F1807</f>
        <v>525549496</v>
      </c>
      <c r="G1799" s="368"/>
    </row>
    <row r="1800" spans="1:7" ht="17.100000000000001" customHeight="1">
      <c r="A1800" s="1469" t="s">
        <v>677</v>
      </c>
      <c r="B1800" s="1470"/>
      <c r="C1800" s="1470"/>
      <c r="D1800" s="1470"/>
      <c r="E1800" s="1471"/>
      <c r="F1800" s="357">
        <f>F1801+F1802</f>
        <v>248071837</v>
      </c>
      <c r="G1800" s="368"/>
    </row>
    <row r="1801" spans="1:7" ht="19.5" customHeight="1">
      <c r="A1801" s="1478" t="s">
        <v>678</v>
      </c>
      <c r="B1801" s="1476"/>
      <c r="C1801" s="1476"/>
      <c r="D1801" s="1476"/>
      <c r="E1801" s="1477"/>
      <c r="F1801" s="357">
        <f>F10+F47+F58+F93+F333+F456+F496+F598+F618+F631+F716+F758+F784+F904+F929+F946+F963+F999+F1026+F1082+F1117+F1261+F1278+F1311+F1359+F1440+F1573+F1627+F1638+F1745+F1781+F277</f>
        <v>139151372</v>
      </c>
    </row>
    <row r="1802" spans="1:7" ht="18.75" customHeight="1">
      <c r="A1802" s="1475" t="s">
        <v>679</v>
      </c>
      <c r="B1802" s="1476"/>
      <c r="C1802" s="1476"/>
      <c r="D1802" s="1476"/>
      <c r="E1802" s="1477"/>
      <c r="F1802" s="357">
        <f>F17+F51+F65+F100+F180+F205+F299+F328+F340+F396++F402+F441+F463+F491+F503+F527+F532+F542+F605+F621+F638+F721+F761+F779+F788+F846+F886+F910+F935+F952+F970+F1006+F1033+F1089+F1123+F1184+F1225+F1242+F1256+F1264+F1285+F1318+F1366+F1447+F1579+F1622+F1644+F1649+F1733+F1752+F1785+F1233</f>
        <v>108920465</v>
      </c>
    </row>
    <row r="1803" spans="1:7" ht="17.100000000000001" customHeight="1">
      <c r="A1803" s="1469" t="s">
        <v>680</v>
      </c>
      <c r="B1803" s="1470"/>
      <c r="C1803" s="1470"/>
      <c r="D1803" s="1470"/>
      <c r="E1803" s="1471"/>
      <c r="F1803" s="357">
        <f>F127+F184+F211+F254+F262+F304+F767+F798+F851+F859+F871+F895+F1128+F1192+F1212+F1228+F1237+F1246+F1269+F1303+F1338+F1350+F1354+F1421+F1433+F1527+F1609+F1613+F1656+F1664+F1673+F1682+F1692+F1697+F1706+F1715+F1724+F1789+F1204+F1273+F1187+F323</f>
        <v>178465174</v>
      </c>
      <c r="G1803" s="368"/>
    </row>
    <row r="1804" spans="1:7" ht="17.100000000000001" customHeight="1">
      <c r="A1804" s="1469" t="s">
        <v>681</v>
      </c>
      <c r="B1804" s="1470"/>
      <c r="C1804" s="1470"/>
      <c r="D1804" s="1470"/>
      <c r="E1804" s="1471"/>
      <c r="F1804" s="357">
        <f>F37+F84+F112+F363+F482+F518+F626+F660+F801+F924+F941+F990+F1021+F1046+F1108+F1131+F1306+F1341+F1384+F1467+F1588+F1659+F1771+F1793+F1179+F958</f>
        <v>3012659</v>
      </c>
      <c r="G1804" s="368"/>
    </row>
    <row r="1805" spans="1:7" ht="15.75" customHeight="1">
      <c r="A1805" s="1479" t="s">
        <v>682</v>
      </c>
      <c r="B1805" s="1470"/>
      <c r="C1805" s="1470"/>
      <c r="D1805" s="1470"/>
      <c r="E1805" s="1471"/>
      <c r="F1805" s="357">
        <f>F131+F220+F282+F307+F565+F663+F726+F770+F804+F1049+F1136+F1388+F1471+F1530+F1592+F407</f>
        <v>72775397</v>
      </c>
    </row>
    <row r="1806" spans="1:7" ht="17.100000000000001" customHeight="1">
      <c r="A1806" s="1469" t="s">
        <v>683</v>
      </c>
      <c r="B1806" s="1470"/>
      <c r="C1806" s="1470"/>
      <c r="D1806" s="1470"/>
      <c r="E1806" s="1471"/>
      <c r="F1806" s="357">
        <f>F881</f>
        <v>9224429</v>
      </c>
      <c r="G1806" s="368"/>
    </row>
    <row r="1807" spans="1:7" ht="17.100000000000001" customHeight="1">
      <c r="A1807" s="1469" t="s">
        <v>684</v>
      </c>
      <c r="B1807" s="1470"/>
      <c r="C1807" s="1470"/>
      <c r="D1807" s="1470"/>
      <c r="E1807" s="1471"/>
      <c r="F1807" s="357">
        <f>F877</f>
        <v>14000000</v>
      </c>
    </row>
    <row r="1808" spans="1:7" ht="21.75" customHeight="1">
      <c r="A1808" s="1472" t="s">
        <v>685</v>
      </c>
      <c r="B1808" s="1473"/>
      <c r="C1808" s="1473"/>
      <c r="D1808" s="1473"/>
      <c r="E1808" s="1474"/>
      <c r="F1808" s="455">
        <f>F1809+F1811+F1812</f>
        <v>760284708</v>
      </c>
      <c r="G1808" s="368"/>
    </row>
    <row r="1809" spans="1:8" ht="17.100000000000001" customHeight="1">
      <c r="A1809" s="1469" t="s">
        <v>686</v>
      </c>
      <c r="B1809" s="1470"/>
      <c r="C1809" s="1470"/>
      <c r="D1809" s="1470"/>
      <c r="E1809" s="1471"/>
      <c r="F1809" s="357">
        <f>F41+F88+F116+F168+F189+F195+F258+F267+F312+F367+F383+F422+F486+F522+F536+F552+F703+F774+F833+F867+F890+F899+F994+F1169+F1175+F1196+F1208+F1216+F1220+F1251+F1346+F1425+F1512+F1617+F1633+F1669+F1702+F1711+F1720+F1728+F1738+F1775+F1687+F1112+F855+F863+F271+F215+F391+F387</f>
        <v>752284708</v>
      </c>
    </row>
    <row r="1810" spans="1:8" ht="18" customHeight="1">
      <c r="A1810" s="1475" t="s">
        <v>687</v>
      </c>
      <c r="B1810" s="1476"/>
      <c r="C1810" s="1476"/>
      <c r="D1810" s="1476"/>
      <c r="E1810" s="1477"/>
      <c r="F1810" s="357">
        <f>F121+F173+F200+F317+F375+F430+F558+F710+F838+F1428+F1520</f>
        <v>546390297</v>
      </c>
      <c r="G1810" s="392"/>
    </row>
    <row r="1811" spans="1:8" ht="17.100000000000001" customHeight="1">
      <c r="A1811" s="1469" t="s">
        <v>688</v>
      </c>
      <c r="B1811" s="1470"/>
      <c r="C1811" s="1470"/>
      <c r="D1811" s="1470"/>
      <c r="E1811" s="1471"/>
      <c r="F1811" s="357">
        <f>F1200</f>
        <v>8000000</v>
      </c>
    </row>
    <row r="1812" spans="1:8" ht="17.100000000000001" customHeight="1">
      <c r="A1812" s="1469" t="s">
        <v>689</v>
      </c>
      <c r="B1812" s="1470"/>
      <c r="C1812" s="1470"/>
      <c r="D1812" s="1470"/>
      <c r="E1812" s="1471"/>
      <c r="F1812" s="357">
        <v>0</v>
      </c>
    </row>
    <row r="1813" spans="1:8" ht="17.100000000000001" customHeight="1">
      <c r="A1813" s="456"/>
      <c r="B1813" s="456"/>
      <c r="C1813" s="456"/>
      <c r="D1813" s="456"/>
      <c r="E1813" s="456"/>
      <c r="F1813" s="457"/>
      <c r="H1813" s="368"/>
    </row>
    <row r="1814" spans="1:8" ht="17.100000000000001" customHeight="1">
      <c r="A1814" s="456"/>
      <c r="B1814" s="456"/>
      <c r="C1814" s="456"/>
      <c r="D1814" s="456"/>
      <c r="E1814" s="456"/>
      <c r="F1814" s="456"/>
      <c r="G1814" s="375"/>
    </row>
    <row r="1815" spans="1:8" ht="17.100000000000001" customHeight="1">
      <c r="A1815" s="456"/>
      <c r="B1815" s="456"/>
      <c r="C1815" s="456"/>
      <c r="D1815" s="456"/>
      <c r="E1815" s="456"/>
      <c r="F1815" s="456"/>
    </row>
    <row r="1816" spans="1:8" ht="17.100000000000001" customHeight="1">
      <c r="A1816" s="456"/>
      <c r="B1816" s="456"/>
      <c r="C1816" s="456"/>
      <c r="D1816" s="456"/>
      <c r="E1816" s="456"/>
      <c r="F1816" s="456"/>
    </row>
    <row r="1817" spans="1:8" ht="17.100000000000001" customHeight="1">
      <c r="A1817" s="456"/>
      <c r="B1817" s="456"/>
      <c r="C1817" s="456"/>
      <c r="D1817" s="456"/>
      <c r="E1817" s="456"/>
      <c r="F1817" s="456"/>
    </row>
    <row r="1818" spans="1:8" ht="17.100000000000001" customHeight="1">
      <c r="A1818" s="456"/>
      <c r="B1818" s="456"/>
      <c r="C1818" s="456"/>
      <c r="D1818" s="456"/>
      <c r="E1818" s="456"/>
      <c r="F1818" s="456"/>
    </row>
    <row r="1819" spans="1:8" ht="17.100000000000001" customHeight="1">
      <c r="A1819" s="456"/>
      <c r="B1819" s="456"/>
      <c r="C1819" s="456"/>
      <c r="D1819" s="456"/>
      <c r="E1819" s="456"/>
      <c r="F1819" s="456"/>
    </row>
    <row r="1820" spans="1:8">
      <c r="A1820" s="456"/>
      <c r="B1820" s="456"/>
      <c r="C1820" s="456"/>
      <c r="D1820" s="456"/>
      <c r="E1820" s="456"/>
      <c r="F1820" s="456"/>
    </row>
    <row r="1821" spans="1:8">
      <c r="A1821" s="456"/>
      <c r="B1821" s="456"/>
      <c r="C1821" s="456"/>
      <c r="D1821" s="456"/>
      <c r="E1821" s="456"/>
      <c r="F1821" s="456"/>
    </row>
    <row r="1822" spans="1:8">
      <c r="D1822" s="368"/>
    </row>
    <row r="1824" spans="1:8">
      <c r="D1824" s="368"/>
    </row>
    <row r="1826" spans="4:4">
      <c r="D1826" s="368"/>
    </row>
    <row r="1828" spans="4:4">
      <c r="D1828" s="368"/>
    </row>
    <row r="1830" spans="4:4">
      <c r="D1830" s="368"/>
    </row>
    <row r="1832" spans="4:4">
      <c r="D1832" s="368"/>
    </row>
    <row r="1834" spans="4:4">
      <c r="D1834" s="368"/>
    </row>
    <row r="1836" spans="4:4">
      <c r="D1836" s="368"/>
    </row>
    <row r="1838" spans="4:4">
      <c r="D1838" s="368"/>
    </row>
  </sheetData>
  <mergeCells count="1325">
    <mergeCell ref="A1812:E1812"/>
    <mergeCell ref="A1806:E1806"/>
    <mergeCell ref="A1807:E1807"/>
    <mergeCell ref="A1808:E1808"/>
    <mergeCell ref="A1809:E1809"/>
    <mergeCell ref="A1810:E1810"/>
    <mergeCell ref="A1811:E1811"/>
    <mergeCell ref="A1800:E1800"/>
    <mergeCell ref="A1801:E1801"/>
    <mergeCell ref="A1802:E1802"/>
    <mergeCell ref="A1803:E1803"/>
    <mergeCell ref="A1804:E1804"/>
    <mergeCell ref="A1805:E1805"/>
    <mergeCell ref="D1792:F1792"/>
    <mergeCell ref="D1793:E1793"/>
    <mergeCell ref="A1796:E1796"/>
    <mergeCell ref="A1797:F1797"/>
    <mergeCell ref="A1798:E1798"/>
    <mergeCell ref="A1799:E1799"/>
    <mergeCell ref="A1778:A1795"/>
    <mergeCell ref="B1778:C1778"/>
    <mergeCell ref="B1779:C1795"/>
    <mergeCell ref="D1779:E1779"/>
    <mergeCell ref="D1780:E1780"/>
    <mergeCell ref="D1781:E1781"/>
    <mergeCell ref="D1784:F1784"/>
    <mergeCell ref="D1785:E1785"/>
    <mergeCell ref="D1788:F1788"/>
    <mergeCell ref="D1789:E1789"/>
    <mergeCell ref="D1770:F1770"/>
    <mergeCell ref="D1771:E1771"/>
    <mergeCell ref="D1773:F1773"/>
    <mergeCell ref="D1774:E1774"/>
    <mergeCell ref="D1775:E1775"/>
    <mergeCell ref="B1777:C1777"/>
    <mergeCell ref="B1763:C1763"/>
    <mergeCell ref="B1764:C1764"/>
    <mergeCell ref="B1765:C1765"/>
    <mergeCell ref="B1766:C1766"/>
    <mergeCell ref="B1767:C1767"/>
    <mergeCell ref="B1769:C1769"/>
    <mergeCell ref="B1757:C1757"/>
    <mergeCell ref="B1758:C1758"/>
    <mergeCell ref="B1759:C1759"/>
    <mergeCell ref="B1760:C1760"/>
    <mergeCell ref="B1761:C1761"/>
    <mergeCell ref="B1762:C1762"/>
    <mergeCell ref="D1751:F1751"/>
    <mergeCell ref="D1752:E1752"/>
    <mergeCell ref="B1753:C1753"/>
    <mergeCell ref="B1754:C1754"/>
    <mergeCell ref="B1755:C1755"/>
    <mergeCell ref="B1756:C1756"/>
    <mergeCell ref="D1745:E1745"/>
    <mergeCell ref="B1746:C1746"/>
    <mergeCell ref="B1747:C1747"/>
    <mergeCell ref="B1748:C1748"/>
    <mergeCell ref="B1749:C1749"/>
    <mergeCell ref="B1750:C1750"/>
    <mergeCell ref="D1737:E1737"/>
    <mergeCell ref="D1738:E1738"/>
    <mergeCell ref="B1741:C1741"/>
    <mergeCell ref="B1742:C1742"/>
    <mergeCell ref="D1743:E1743"/>
    <mergeCell ref="D1744:E1744"/>
    <mergeCell ref="B1725:C1725"/>
    <mergeCell ref="D1726:F1726"/>
    <mergeCell ref="D1727:E1727"/>
    <mergeCell ref="D1728:E1728"/>
    <mergeCell ref="B1730:C1730"/>
    <mergeCell ref="B1731:C1740"/>
    <mergeCell ref="D1731:E1731"/>
    <mergeCell ref="D1732:E1732"/>
    <mergeCell ref="D1733:E1733"/>
    <mergeCell ref="D1736:F1736"/>
    <mergeCell ref="D1719:E1719"/>
    <mergeCell ref="D1720:E1720"/>
    <mergeCell ref="B1721:C1721"/>
    <mergeCell ref="B1722:C1722"/>
    <mergeCell ref="D1723:E1723"/>
    <mergeCell ref="D1724:E1724"/>
    <mergeCell ref="B1713:C1713"/>
    <mergeCell ref="B1714:C1716"/>
    <mergeCell ref="D1714:E1714"/>
    <mergeCell ref="D1715:E1715"/>
    <mergeCell ref="B1717:C1717"/>
    <mergeCell ref="D1718:F1718"/>
    <mergeCell ref="B1705:C1712"/>
    <mergeCell ref="D1705:E1705"/>
    <mergeCell ref="D1706:E1706"/>
    <mergeCell ref="D1709:F1709"/>
    <mergeCell ref="D1710:E1710"/>
    <mergeCell ref="D1711:E1711"/>
    <mergeCell ref="C1697:C1703"/>
    <mergeCell ref="D1697:E1697"/>
    <mergeCell ref="D1700:F1700"/>
    <mergeCell ref="D1701:E1701"/>
    <mergeCell ref="D1702:E1702"/>
    <mergeCell ref="B1704:C1704"/>
    <mergeCell ref="B1690:C1690"/>
    <mergeCell ref="B1691:C1694"/>
    <mergeCell ref="D1691:E1691"/>
    <mergeCell ref="D1692:E1692"/>
    <mergeCell ref="B1695:C1695"/>
    <mergeCell ref="D1696:E1696"/>
    <mergeCell ref="D1678:E1678"/>
    <mergeCell ref="B1680:C1680"/>
    <mergeCell ref="B1681:C1689"/>
    <mergeCell ref="D1681:E1681"/>
    <mergeCell ref="D1682:E1682"/>
    <mergeCell ref="D1685:F1685"/>
    <mergeCell ref="D1686:E1686"/>
    <mergeCell ref="D1687:E1687"/>
    <mergeCell ref="B1671:C1671"/>
    <mergeCell ref="B1672:C1674"/>
    <mergeCell ref="D1672:E1672"/>
    <mergeCell ref="D1673:E1673"/>
    <mergeCell ref="B1675:C1675"/>
    <mergeCell ref="D1677:E1677"/>
    <mergeCell ref="B1662:C1662"/>
    <mergeCell ref="B1663:C1670"/>
    <mergeCell ref="D1663:E1663"/>
    <mergeCell ref="D1664:E1664"/>
    <mergeCell ref="D1667:F1667"/>
    <mergeCell ref="D1668:E1668"/>
    <mergeCell ref="D1669:E1669"/>
    <mergeCell ref="B1653:C1653"/>
    <mergeCell ref="B1654:C1654"/>
    <mergeCell ref="B1655:C1661"/>
    <mergeCell ref="D1655:E1655"/>
    <mergeCell ref="D1656:E1656"/>
    <mergeCell ref="D1658:F1658"/>
    <mergeCell ref="D1659:E1659"/>
    <mergeCell ref="C1643:C1646"/>
    <mergeCell ref="D1643:E1643"/>
    <mergeCell ref="D1644:E1644"/>
    <mergeCell ref="B1647:C1647"/>
    <mergeCell ref="B1648:C1652"/>
    <mergeCell ref="D1648:E1648"/>
    <mergeCell ref="D1649:E1649"/>
    <mergeCell ref="B1635:C1635"/>
    <mergeCell ref="B1636:C1640"/>
    <mergeCell ref="D1636:E1636"/>
    <mergeCell ref="D1637:E1637"/>
    <mergeCell ref="D1638:E1638"/>
    <mergeCell ref="B1641:C1641"/>
    <mergeCell ref="B1624:C1624"/>
    <mergeCell ref="B1625:C1634"/>
    <mergeCell ref="D1625:E1625"/>
    <mergeCell ref="D1626:E1626"/>
    <mergeCell ref="D1627:E1627"/>
    <mergeCell ref="D1631:F1631"/>
    <mergeCell ref="D1632:E1632"/>
    <mergeCell ref="D1633:E1633"/>
    <mergeCell ref="B1618:C1618"/>
    <mergeCell ref="B1619:C1619"/>
    <mergeCell ref="B1620:C1620"/>
    <mergeCell ref="B1621:C1623"/>
    <mergeCell ref="D1621:E1621"/>
    <mergeCell ref="D1622:E1622"/>
    <mergeCell ref="B1612:C1614"/>
    <mergeCell ref="D1612:E1612"/>
    <mergeCell ref="D1613:E1613"/>
    <mergeCell ref="D1615:F1615"/>
    <mergeCell ref="D1616:E1616"/>
    <mergeCell ref="D1617:E1617"/>
    <mergeCell ref="B1606:C1606"/>
    <mergeCell ref="B1607:C1607"/>
    <mergeCell ref="B1608:C1610"/>
    <mergeCell ref="D1608:E1608"/>
    <mergeCell ref="D1609:E1609"/>
    <mergeCell ref="B1611:C1611"/>
    <mergeCell ref="B1600:C1600"/>
    <mergeCell ref="B1601:C1601"/>
    <mergeCell ref="B1602:C1602"/>
    <mergeCell ref="B1603:C1603"/>
    <mergeCell ref="B1604:C1604"/>
    <mergeCell ref="B1605:C1605"/>
    <mergeCell ref="B1594:C1594"/>
    <mergeCell ref="B1595:C1595"/>
    <mergeCell ref="B1596:C1596"/>
    <mergeCell ref="B1597:C1597"/>
    <mergeCell ref="B1598:C1598"/>
    <mergeCell ref="B1599:C1599"/>
    <mergeCell ref="B1583:C1583"/>
    <mergeCell ref="B1584:C1589"/>
    <mergeCell ref="D1587:F1587"/>
    <mergeCell ref="D1588:E1588"/>
    <mergeCell ref="B1590:C1590"/>
    <mergeCell ref="B1591:C1593"/>
    <mergeCell ref="D1591:E1591"/>
    <mergeCell ref="D1592:E1592"/>
    <mergeCell ref="B1577:C1577"/>
    <mergeCell ref="D1578:F1578"/>
    <mergeCell ref="D1579:E1579"/>
    <mergeCell ref="B1580:C1580"/>
    <mergeCell ref="B1581:C1581"/>
    <mergeCell ref="B1582:C1582"/>
    <mergeCell ref="D1571:E1571"/>
    <mergeCell ref="D1572:E1572"/>
    <mergeCell ref="D1573:E1573"/>
    <mergeCell ref="B1574:C1574"/>
    <mergeCell ref="B1575:C1575"/>
    <mergeCell ref="B1576:C1576"/>
    <mergeCell ref="B1563:C1563"/>
    <mergeCell ref="B1564:C1564"/>
    <mergeCell ref="B1565:C1565"/>
    <mergeCell ref="B1566:C1566"/>
    <mergeCell ref="B1569:C1569"/>
    <mergeCell ref="B1570:C1570"/>
    <mergeCell ref="B1557:C1557"/>
    <mergeCell ref="B1558:C1558"/>
    <mergeCell ref="B1559:C1559"/>
    <mergeCell ref="B1560:C1560"/>
    <mergeCell ref="B1561:C1561"/>
    <mergeCell ref="B1562:C1562"/>
    <mergeCell ref="B1551:C1551"/>
    <mergeCell ref="B1552:C1552"/>
    <mergeCell ref="B1553:C1553"/>
    <mergeCell ref="B1554:C1554"/>
    <mergeCell ref="B1555:C1555"/>
    <mergeCell ref="B1556:C1556"/>
    <mergeCell ref="B1543:C1543"/>
    <mergeCell ref="B1544:C1544"/>
    <mergeCell ref="B1545:C1545"/>
    <mergeCell ref="B1546:C1546"/>
    <mergeCell ref="B1549:C1549"/>
    <mergeCell ref="B1550:C1550"/>
    <mergeCell ref="B1537:C1537"/>
    <mergeCell ref="B1538:C1538"/>
    <mergeCell ref="B1539:C1539"/>
    <mergeCell ref="B1540:C1540"/>
    <mergeCell ref="B1541:C1541"/>
    <mergeCell ref="B1542:C1542"/>
    <mergeCell ref="B1531:C1531"/>
    <mergeCell ref="B1532:C1532"/>
    <mergeCell ref="B1533:C1533"/>
    <mergeCell ref="B1534:C1534"/>
    <mergeCell ref="B1535:C1535"/>
    <mergeCell ref="B1536:C1536"/>
    <mergeCell ref="D1519:F1519"/>
    <mergeCell ref="D1520:E1520"/>
    <mergeCell ref="B1525:C1525"/>
    <mergeCell ref="B1526:C1530"/>
    <mergeCell ref="D1526:E1526"/>
    <mergeCell ref="D1527:E1527"/>
    <mergeCell ref="D1529:F1529"/>
    <mergeCell ref="D1530:E1530"/>
    <mergeCell ref="B1508:C1508"/>
    <mergeCell ref="B1509:C1509"/>
    <mergeCell ref="D1510:F1510"/>
    <mergeCell ref="D1511:E1511"/>
    <mergeCell ref="D1512:E1512"/>
    <mergeCell ref="B1513:C1513"/>
    <mergeCell ref="B1500:C1500"/>
    <mergeCell ref="B1501:C1501"/>
    <mergeCell ref="B1502:C1502"/>
    <mergeCell ref="B1503:C1503"/>
    <mergeCell ref="B1504:C1504"/>
    <mergeCell ref="B1505:C1505"/>
    <mergeCell ref="B1494:C1494"/>
    <mergeCell ref="B1495:C1495"/>
    <mergeCell ref="B1496:C1496"/>
    <mergeCell ref="B1497:C1497"/>
    <mergeCell ref="B1498:C1498"/>
    <mergeCell ref="B1499:C1499"/>
    <mergeCell ref="B1488:C1488"/>
    <mergeCell ref="B1489:C1489"/>
    <mergeCell ref="B1490:C1490"/>
    <mergeCell ref="B1491:C1491"/>
    <mergeCell ref="B1492:C1492"/>
    <mergeCell ref="B1493:C1493"/>
    <mergeCell ref="B1482:C1482"/>
    <mergeCell ref="B1483:C1483"/>
    <mergeCell ref="B1484:C1484"/>
    <mergeCell ref="B1485:C1485"/>
    <mergeCell ref="B1486:C1486"/>
    <mergeCell ref="B1487:C1487"/>
    <mergeCell ref="B1476:C1476"/>
    <mergeCell ref="B1477:C1477"/>
    <mergeCell ref="B1478:C1478"/>
    <mergeCell ref="B1479:C1479"/>
    <mergeCell ref="B1480:C1480"/>
    <mergeCell ref="B1481:C1481"/>
    <mergeCell ref="D1466:F1466"/>
    <mergeCell ref="D1467:E1467"/>
    <mergeCell ref="D1470:F1470"/>
    <mergeCell ref="D1471:E1471"/>
    <mergeCell ref="B1474:C1474"/>
    <mergeCell ref="B1475:C1475"/>
    <mergeCell ref="D1438:E1438"/>
    <mergeCell ref="D1439:E1439"/>
    <mergeCell ref="D1440:E1440"/>
    <mergeCell ref="D1446:F1446"/>
    <mergeCell ref="B1447:C1447"/>
    <mergeCell ref="D1447:E1447"/>
    <mergeCell ref="B1432:C1434"/>
    <mergeCell ref="D1432:E1432"/>
    <mergeCell ref="D1433:E1433"/>
    <mergeCell ref="B1435:C1435"/>
    <mergeCell ref="B1436:C1436"/>
    <mergeCell ref="B1437:C1437"/>
    <mergeCell ref="D1424:E1424"/>
    <mergeCell ref="D1425:E1425"/>
    <mergeCell ref="D1427:F1427"/>
    <mergeCell ref="D1428:E1428"/>
    <mergeCell ref="B1430:C1430"/>
    <mergeCell ref="B1431:C1431"/>
    <mergeCell ref="B1378:C1385"/>
    <mergeCell ref="D1383:F1383"/>
    <mergeCell ref="D1384:E1384"/>
    <mergeCell ref="B1386:C1386"/>
    <mergeCell ref="B1387:C1429"/>
    <mergeCell ref="D1387:E1387"/>
    <mergeCell ref="D1388:E1388"/>
    <mergeCell ref="D1420:F1420"/>
    <mergeCell ref="D1421:E1421"/>
    <mergeCell ref="D1423:F1423"/>
    <mergeCell ref="B1372:C1372"/>
    <mergeCell ref="B1373:C1373"/>
    <mergeCell ref="B1374:C1374"/>
    <mergeCell ref="B1375:C1375"/>
    <mergeCell ref="B1376:C1376"/>
    <mergeCell ref="B1377:C1377"/>
    <mergeCell ref="B1363:C1363"/>
    <mergeCell ref="D1365:F1365"/>
    <mergeCell ref="D1366:E1366"/>
    <mergeCell ref="B1368:C1368"/>
    <mergeCell ref="B1369:C1369"/>
    <mergeCell ref="B1371:C1371"/>
    <mergeCell ref="B1356:C1356"/>
    <mergeCell ref="D1357:E1357"/>
    <mergeCell ref="D1358:E1358"/>
    <mergeCell ref="D1359:E1359"/>
    <mergeCell ref="B1360:C1360"/>
    <mergeCell ref="B1362:C1362"/>
    <mergeCell ref="B1349:C1351"/>
    <mergeCell ref="D1349:E1349"/>
    <mergeCell ref="D1350:E1350"/>
    <mergeCell ref="B1352:C1352"/>
    <mergeCell ref="B1353:C1355"/>
    <mergeCell ref="D1353:E1353"/>
    <mergeCell ref="D1354:E1354"/>
    <mergeCell ref="D1341:E1341"/>
    <mergeCell ref="D1344:F1344"/>
    <mergeCell ref="D1345:E1345"/>
    <mergeCell ref="D1346:E1346"/>
    <mergeCell ref="B1347:C1347"/>
    <mergeCell ref="B1348:C1348"/>
    <mergeCell ref="B1332:C1332"/>
    <mergeCell ref="B1333:C1333"/>
    <mergeCell ref="B1336:C1336"/>
    <mergeCell ref="D1337:F1337"/>
    <mergeCell ref="D1338:E1338"/>
    <mergeCell ref="D1340:F1340"/>
    <mergeCell ref="B1325:C1325"/>
    <mergeCell ref="B1326:C1326"/>
    <mergeCell ref="B1327:C1327"/>
    <mergeCell ref="B1329:C1329"/>
    <mergeCell ref="B1330:C1330"/>
    <mergeCell ref="B1331:C1331"/>
    <mergeCell ref="D1318:E1318"/>
    <mergeCell ref="B1320:C1320"/>
    <mergeCell ref="B1321:C1321"/>
    <mergeCell ref="B1322:C1322"/>
    <mergeCell ref="B1323:C1323"/>
    <mergeCell ref="B1324:C1324"/>
    <mergeCell ref="D1311:E1311"/>
    <mergeCell ref="B1312:C1312"/>
    <mergeCell ref="B1313:C1313"/>
    <mergeCell ref="B1314:C1314"/>
    <mergeCell ref="B1315:C1315"/>
    <mergeCell ref="D1317:F1317"/>
    <mergeCell ref="D1303:E1303"/>
    <mergeCell ref="D1305:F1305"/>
    <mergeCell ref="D1306:E1306"/>
    <mergeCell ref="B1308:C1308"/>
    <mergeCell ref="D1309:E1309"/>
    <mergeCell ref="D1310:E1310"/>
    <mergeCell ref="B1295:C1295"/>
    <mergeCell ref="B1296:C1296"/>
    <mergeCell ref="B1297:C1297"/>
    <mergeCell ref="B1300:C1300"/>
    <mergeCell ref="B1301:C1301"/>
    <mergeCell ref="D1302:F1302"/>
    <mergeCell ref="B1289:C1289"/>
    <mergeCell ref="B1290:C1290"/>
    <mergeCell ref="B1291:C1291"/>
    <mergeCell ref="B1292:C1292"/>
    <mergeCell ref="B1293:C1293"/>
    <mergeCell ref="B1294:C1294"/>
    <mergeCell ref="B1281:C1281"/>
    <mergeCell ref="B1282:C1282"/>
    <mergeCell ref="D1284:F1284"/>
    <mergeCell ref="D1285:E1285"/>
    <mergeCell ref="B1287:C1287"/>
    <mergeCell ref="B1288:C1288"/>
    <mergeCell ref="B1275:C1275"/>
    <mergeCell ref="D1276:E1276"/>
    <mergeCell ref="D1277:E1277"/>
    <mergeCell ref="D1278:E1278"/>
    <mergeCell ref="B1279:C1279"/>
    <mergeCell ref="B1280:C1280"/>
    <mergeCell ref="C1268:C1270"/>
    <mergeCell ref="D1268:E1268"/>
    <mergeCell ref="D1269:E1269"/>
    <mergeCell ref="C1272:C1274"/>
    <mergeCell ref="D1272:E1272"/>
    <mergeCell ref="D1273:E1273"/>
    <mergeCell ref="D1260:E1260"/>
    <mergeCell ref="D1261:E1261"/>
    <mergeCell ref="D1263:F1263"/>
    <mergeCell ref="D1264:E1264"/>
    <mergeCell ref="B1265:C1265"/>
    <mergeCell ref="B1266:C1266"/>
    <mergeCell ref="B1254:C1257"/>
    <mergeCell ref="D1254:E1254"/>
    <mergeCell ref="D1255:E1255"/>
    <mergeCell ref="D1256:E1256"/>
    <mergeCell ref="B1258:C1258"/>
    <mergeCell ref="D1259:E1259"/>
    <mergeCell ref="D1245:F1245"/>
    <mergeCell ref="D1246:E1246"/>
    <mergeCell ref="D1249:F1249"/>
    <mergeCell ref="D1250:E1250"/>
    <mergeCell ref="D1251:E1251"/>
    <mergeCell ref="B1253:C1253"/>
    <mergeCell ref="B1239:C1239"/>
    <mergeCell ref="D1240:E1240"/>
    <mergeCell ref="D1241:E1241"/>
    <mergeCell ref="D1242:E1242"/>
    <mergeCell ref="B1243:C1243"/>
    <mergeCell ref="B1244:C1244"/>
    <mergeCell ref="D1232:E1232"/>
    <mergeCell ref="D1233:E1233"/>
    <mergeCell ref="B1235:C1235"/>
    <mergeCell ref="B1236:C1238"/>
    <mergeCell ref="D1236:E1236"/>
    <mergeCell ref="D1237:E1237"/>
    <mergeCell ref="D1224:E1224"/>
    <mergeCell ref="B1225:C1229"/>
    <mergeCell ref="D1225:E1225"/>
    <mergeCell ref="D1227:F1227"/>
    <mergeCell ref="D1228:E1228"/>
    <mergeCell ref="D1231:E1231"/>
    <mergeCell ref="B1218:C1218"/>
    <mergeCell ref="B1219:C1221"/>
    <mergeCell ref="D1219:E1219"/>
    <mergeCell ref="D1220:E1220"/>
    <mergeCell ref="B1222:C1222"/>
    <mergeCell ref="D1223:E1223"/>
    <mergeCell ref="C1211:C1217"/>
    <mergeCell ref="D1211:E1211"/>
    <mergeCell ref="D1212:E1212"/>
    <mergeCell ref="D1214:F1214"/>
    <mergeCell ref="D1215:E1215"/>
    <mergeCell ref="D1216:E1216"/>
    <mergeCell ref="C1199:C1201"/>
    <mergeCell ref="D1199:E1199"/>
    <mergeCell ref="D1200:E1200"/>
    <mergeCell ref="C1203:C1209"/>
    <mergeCell ref="D1203:E1203"/>
    <mergeCell ref="D1204:E1204"/>
    <mergeCell ref="D1206:F1206"/>
    <mergeCell ref="D1207:E1207"/>
    <mergeCell ref="D1208:E1208"/>
    <mergeCell ref="D1187:E1187"/>
    <mergeCell ref="B1189:C1189"/>
    <mergeCell ref="B1190:C1190"/>
    <mergeCell ref="B1191:C1197"/>
    <mergeCell ref="D1191:E1191"/>
    <mergeCell ref="D1192:E1192"/>
    <mergeCell ref="D1194:F1194"/>
    <mergeCell ref="D1195:E1195"/>
    <mergeCell ref="D1196:E1196"/>
    <mergeCell ref="B1181:C1181"/>
    <mergeCell ref="B1182:C1185"/>
    <mergeCell ref="D1182:E1182"/>
    <mergeCell ref="D1183:E1183"/>
    <mergeCell ref="D1184:E1184"/>
    <mergeCell ref="D1186:F1186"/>
    <mergeCell ref="B1171:C1171"/>
    <mergeCell ref="B1172:C1172"/>
    <mergeCell ref="D1174:E1174"/>
    <mergeCell ref="D1175:E1175"/>
    <mergeCell ref="B1177:C1177"/>
    <mergeCell ref="B1178:C1180"/>
    <mergeCell ref="D1178:E1178"/>
    <mergeCell ref="D1179:E1179"/>
    <mergeCell ref="B1164:C1164"/>
    <mergeCell ref="D1167:F1167"/>
    <mergeCell ref="D1168:E1168"/>
    <mergeCell ref="D1169:E1169"/>
    <mergeCell ref="B1170:C1170"/>
    <mergeCell ref="B1155:C1155"/>
    <mergeCell ref="B1156:C1156"/>
    <mergeCell ref="B1159:C1159"/>
    <mergeCell ref="B1160:C1160"/>
    <mergeCell ref="B1161:C1161"/>
    <mergeCell ref="B1162:C1162"/>
    <mergeCell ref="B1149:C1149"/>
    <mergeCell ref="B1150:C1150"/>
    <mergeCell ref="B1151:C1151"/>
    <mergeCell ref="B1152:C1152"/>
    <mergeCell ref="B1153:C1153"/>
    <mergeCell ref="B1154:C1154"/>
    <mergeCell ref="B1145:C1145"/>
    <mergeCell ref="B1146:C1146"/>
    <mergeCell ref="B1147:C1147"/>
    <mergeCell ref="B1148:C1148"/>
    <mergeCell ref="D1130:F1130"/>
    <mergeCell ref="D1131:E1131"/>
    <mergeCell ref="D1135:F1135"/>
    <mergeCell ref="D1136:E1136"/>
    <mergeCell ref="B1139:C1139"/>
    <mergeCell ref="B1140:C1140"/>
    <mergeCell ref="D1117:E1117"/>
    <mergeCell ref="B1118:C1118"/>
    <mergeCell ref="D1122:F1122"/>
    <mergeCell ref="D1123:E1123"/>
    <mergeCell ref="D1127:F1127"/>
    <mergeCell ref="D1128:E1128"/>
    <mergeCell ref="B1163:C1163"/>
    <mergeCell ref="B1114:C1114"/>
    <mergeCell ref="D1115:E1115"/>
    <mergeCell ref="D1116:E1116"/>
    <mergeCell ref="B1102:C1102"/>
    <mergeCell ref="B1103:C1103"/>
    <mergeCell ref="B1104:C1104"/>
    <mergeCell ref="B1106:C1106"/>
    <mergeCell ref="D1107:F1107"/>
    <mergeCell ref="D1108:E1108"/>
    <mergeCell ref="B1095:C1095"/>
    <mergeCell ref="B1096:C1096"/>
    <mergeCell ref="B1098:C1098"/>
    <mergeCell ref="B1099:C1099"/>
    <mergeCell ref="B1100:C1100"/>
    <mergeCell ref="B1101:C1101"/>
    <mergeCell ref="B1143:C1143"/>
    <mergeCell ref="B1144:C1144"/>
    <mergeCell ref="D1089:E1089"/>
    <mergeCell ref="B1091:C1091"/>
    <mergeCell ref="B1092:C1092"/>
    <mergeCell ref="B1093:C1093"/>
    <mergeCell ref="B1094:C1094"/>
    <mergeCell ref="D1082:E1082"/>
    <mergeCell ref="B1083:C1083"/>
    <mergeCell ref="B1084:C1084"/>
    <mergeCell ref="B1085:C1085"/>
    <mergeCell ref="B1086:C1086"/>
    <mergeCell ref="B1087:C1087"/>
    <mergeCell ref="B1079:C1079"/>
    <mergeCell ref="D1080:E1080"/>
    <mergeCell ref="D1081:E1081"/>
    <mergeCell ref="D1110:F1110"/>
    <mergeCell ref="D1111:E1111"/>
    <mergeCell ref="D1112:E1112"/>
    <mergeCell ref="B1073:C1073"/>
    <mergeCell ref="B1074:C1074"/>
    <mergeCell ref="B1075:C1075"/>
    <mergeCell ref="B1077:C1077"/>
    <mergeCell ref="B1065:C1065"/>
    <mergeCell ref="B1066:C1066"/>
    <mergeCell ref="B1067:C1067"/>
    <mergeCell ref="B1068:C1068"/>
    <mergeCell ref="B1070:C1070"/>
    <mergeCell ref="B1071:C1071"/>
    <mergeCell ref="B1057:C1057"/>
    <mergeCell ref="B1058:C1058"/>
    <mergeCell ref="B1059:C1059"/>
    <mergeCell ref="B1060:C1060"/>
    <mergeCell ref="B1061:C1061"/>
    <mergeCell ref="B1064:C1064"/>
    <mergeCell ref="D1088:F1088"/>
    <mergeCell ref="D1033:E1033"/>
    <mergeCell ref="D1045:F1045"/>
    <mergeCell ref="D1049:E1049"/>
    <mergeCell ref="B1054:C1054"/>
    <mergeCell ref="B1055:C1055"/>
    <mergeCell ref="B1056:C1056"/>
    <mergeCell ref="B1023:C1023"/>
    <mergeCell ref="D1024:E1024"/>
    <mergeCell ref="D1025:E1025"/>
    <mergeCell ref="D1026:E1026"/>
    <mergeCell ref="B1027:C1027"/>
    <mergeCell ref="D1032:F1032"/>
    <mergeCell ref="B1014:C1014"/>
    <mergeCell ref="B1015:C1015"/>
    <mergeCell ref="B1016:C1016"/>
    <mergeCell ref="B1017:C1017"/>
    <mergeCell ref="B1019:C1022"/>
    <mergeCell ref="D1020:F1020"/>
    <mergeCell ref="D1021:E1021"/>
    <mergeCell ref="B1046:C1046"/>
    <mergeCell ref="D1046:E1046"/>
    <mergeCell ref="D1006:E1006"/>
    <mergeCell ref="B1008:C1008"/>
    <mergeCell ref="B1009:C1009"/>
    <mergeCell ref="B1011:C1011"/>
    <mergeCell ref="B1012:C1012"/>
    <mergeCell ref="B1013:C1013"/>
    <mergeCell ref="B1000:C1000"/>
    <mergeCell ref="B1001:C1001"/>
    <mergeCell ref="B1002:C1002"/>
    <mergeCell ref="B1003:C1003"/>
    <mergeCell ref="B1004:C1004"/>
    <mergeCell ref="D1005:F1005"/>
    <mergeCell ref="D993:E993"/>
    <mergeCell ref="D994:E994"/>
    <mergeCell ref="B996:C996"/>
    <mergeCell ref="D997:E997"/>
    <mergeCell ref="D998:E998"/>
    <mergeCell ref="D999:E999"/>
    <mergeCell ref="B985:C985"/>
    <mergeCell ref="B986:C986"/>
    <mergeCell ref="B988:C988"/>
    <mergeCell ref="D989:F989"/>
    <mergeCell ref="D990:E990"/>
    <mergeCell ref="D992:F992"/>
    <mergeCell ref="B979:C979"/>
    <mergeCell ref="B980:C980"/>
    <mergeCell ref="B981:C981"/>
    <mergeCell ref="B982:C982"/>
    <mergeCell ref="B983:C983"/>
    <mergeCell ref="B984:C984"/>
    <mergeCell ref="B972:C972"/>
    <mergeCell ref="B973:C973"/>
    <mergeCell ref="B974:C974"/>
    <mergeCell ref="B975:C975"/>
    <mergeCell ref="B976:C976"/>
    <mergeCell ref="B977:C977"/>
    <mergeCell ref="B966:C966"/>
    <mergeCell ref="B967:C967"/>
    <mergeCell ref="B968:C968"/>
    <mergeCell ref="B969:C969"/>
    <mergeCell ref="D969:F969"/>
    <mergeCell ref="D970:E970"/>
    <mergeCell ref="B960:C960"/>
    <mergeCell ref="D961:E961"/>
    <mergeCell ref="D962:E962"/>
    <mergeCell ref="D963:E963"/>
    <mergeCell ref="B964:C964"/>
    <mergeCell ref="B965:C965"/>
    <mergeCell ref="B943:C943"/>
    <mergeCell ref="B944:C959"/>
    <mergeCell ref="D944:E944"/>
    <mergeCell ref="D945:E945"/>
    <mergeCell ref="D946:E946"/>
    <mergeCell ref="D951:F951"/>
    <mergeCell ref="D952:E952"/>
    <mergeCell ref="D957:F957"/>
    <mergeCell ref="D958:E958"/>
    <mergeCell ref="B927:C942"/>
    <mergeCell ref="D927:E927"/>
    <mergeCell ref="D928:E928"/>
    <mergeCell ref="D929:E929"/>
    <mergeCell ref="D934:F934"/>
    <mergeCell ref="D935:E935"/>
    <mergeCell ref="D940:F940"/>
    <mergeCell ref="D941:E941"/>
    <mergeCell ref="B920:C920"/>
    <mergeCell ref="B921:C921"/>
    <mergeCell ref="B922:C925"/>
    <mergeCell ref="D923:F923"/>
    <mergeCell ref="D924:E924"/>
    <mergeCell ref="B926:C926"/>
    <mergeCell ref="B913:C913"/>
    <mergeCell ref="B914:C914"/>
    <mergeCell ref="B915:C915"/>
    <mergeCell ref="B916:C916"/>
    <mergeCell ref="B917:C917"/>
    <mergeCell ref="B918:C918"/>
    <mergeCell ref="B907:C907"/>
    <mergeCell ref="B908:C908"/>
    <mergeCell ref="D909:F909"/>
    <mergeCell ref="D910:E910"/>
    <mergeCell ref="B911:C911"/>
    <mergeCell ref="B912:C912"/>
    <mergeCell ref="B901:C901"/>
    <mergeCell ref="D902:E902"/>
    <mergeCell ref="D903:E903"/>
    <mergeCell ref="D904:E904"/>
    <mergeCell ref="B905:C905"/>
    <mergeCell ref="B906:C906"/>
    <mergeCell ref="B892:C892"/>
    <mergeCell ref="C894:C900"/>
    <mergeCell ref="D894:E894"/>
    <mergeCell ref="D895:E895"/>
    <mergeCell ref="D897:F897"/>
    <mergeCell ref="D898:E898"/>
    <mergeCell ref="D899:E899"/>
    <mergeCell ref="D885:E885"/>
    <mergeCell ref="C886:C891"/>
    <mergeCell ref="D886:E886"/>
    <mergeCell ref="D888:F888"/>
    <mergeCell ref="D889:E889"/>
    <mergeCell ref="D890:E890"/>
    <mergeCell ref="B879:C881"/>
    <mergeCell ref="D879:E879"/>
    <mergeCell ref="D880:E880"/>
    <mergeCell ref="B882:C882"/>
    <mergeCell ref="B883:C883"/>
    <mergeCell ref="D884:E884"/>
    <mergeCell ref="B873:C873"/>
    <mergeCell ref="B874:C874"/>
    <mergeCell ref="B875:C877"/>
    <mergeCell ref="D875:E875"/>
    <mergeCell ref="D876:E876"/>
    <mergeCell ref="B878:C878"/>
    <mergeCell ref="C866:C868"/>
    <mergeCell ref="D866:E866"/>
    <mergeCell ref="D867:E867"/>
    <mergeCell ref="B869:C869"/>
    <mergeCell ref="B870:C872"/>
    <mergeCell ref="D870:E870"/>
    <mergeCell ref="D871:E871"/>
    <mergeCell ref="B857:C857"/>
    <mergeCell ref="B858:C864"/>
    <mergeCell ref="D858:E858"/>
    <mergeCell ref="D859:E859"/>
    <mergeCell ref="D861:F861"/>
    <mergeCell ref="D862:E862"/>
    <mergeCell ref="D863:E863"/>
    <mergeCell ref="B848:C848"/>
    <mergeCell ref="B849:C849"/>
    <mergeCell ref="B850:C856"/>
    <mergeCell ref="D850:E850"/>
    <mergeCell ref="D851:E851"/>
    <mergeCell ref="D853:F853"/>
    <mergeCell ref="D854:E854"/>
    <mergeCell ref="D855:E855"/>
    <mergeCell ref="B842:C842"/>
    <mergeCell ref="B843:C843"/>
    <mergeCell ref="B844:C847"/>
    <mergeCell ref="D844:E844"/>
    <mergeCell ref="D845:E845"/>
    <mergeCell ref="D846:E846"/>
    <mergeCell ref="D804:E804"/>
    <mergeCell ref="D831:F831"/>
    <mergeCell ref="D832:E832"/>
    <mergeCell ref="D833:E833"/>
    <mergeCell ref="D837:F837"/>
    <mergeCell ref="D838:E838"/>
    <mergeCell ref="D788:E788"/>
    <mergeCell ref="D797:F797"/>
    <mergeCell ref="D798:E798"/>
    <mergeCell ref="D800:F800"/>
    <mergeCell ref="D801:E801"/>
    <mergeCell ref="D803:F803"/>
    <mergeCell ref="C777:C780"/>
    <mergeCell ref="D777:E777"/>
    <mergeCell ref="D778:E778"/>
    <mergeCell ref="D779:E779"/>
    <mergeCell ref="B781:C781"/>
    <mergeCell ref="B782:C841"/>
    <mergeCell ref="D782:E782"/>
    <mergeCell ref="D783:E783"/>
    <mergeCell ref="D784:E784"/>
    <mergeCell ref="D787:F787"/>
    <mergeCell ref="D767:E767"/>
    <mergeCell ref="D769:F769"/>
    <mergeCell ref="D770:E770"/>
    <mergeCell ref="D772:F772"/>
    <mergeCell ref="D773:E773"/>
    <mergeCell ref="D774:E774"/>
    <mergeCell ref="B753:C753"/>
    <mergeCell ref="B754:C754"/>
    <mergeCell ref="B755:C755"/>
    <mergeCell ref="B756:C775"/>
    <mergeCell ref="D756:E756"/>
    <mergeCell ref="D757:E757"/>
    <mergeCell ref="D758:E758"/>
    <mergeCell ref="D760:F760"/>
    <mergeCell ref="D761:E761"/>
    <mergeCell ref="D766:F766"/>
    <mergeCell ref="B747:C747"/>
    <mergeCell ref="B748:C748"/>
    <mergeCell ref="B749:C749"/>
    <mergeCell ref="B750:C750"/>
    <mergeCell ref="B751:C751"/>
    <mergeCell ref="B752:C752"/>
    <mergeCell ref="B741:C741"/>
    <mergeCell ref="B742:C742"/>
    <mergeCell ref="B743:C743"/>
    <mergeCell ref="B744:C744"/>
    <mergeCell ref="B745:C745"/>
    <mergeCell ref="B746:C746"/>
    <mergeCell ref="B735:C735"/>
    <mergeCell ref="B736:C736"/>
    <mergeCell ref="B737:C737"/>
    <mergeCell ref="B738:C738"/>
    <mergeCell ref="B739:C739"/>
    <mergeCell ref="B740:C740"/>
    <mergeCell ref="B729:C729"/>
    <mergeCell ref="B730:C730"/>
    <mergeCell ref="B731:C731"/>
    <mergeCell ref="B732:C732"/>
    <mergeCell ref="B733:C733"/>
    <mergeCell ref="B734:C734"/>
    <mergeCell ref="D720:F720"/>
    <mergeCell ref="D721:E721"/>
    <mergeCell ref="B722:C722"/>
    <mergeCell ref="B723:C723"/>
    <mergeCell ref="B724:C724"/>
    <mergeCell ref="B725:C728"/>
    <mergeCell ref="D725:E725"/>
    <mergeCell ref="D726:E726"/>
    <mergeCell ref="B713:C713"/>
    <mergeCell ref="B714:C718"/>
    <mergeCell ref="D714:E714"/>
    <mergeCell ref="D715:E715"/>
    <mergeCell ref="D716:E716"/>
    <mergeCell ref="B719:C719"/>
    <mergeCell ref="D702:E702"/>
    <mergeCell ref="D703:E703"/>
    <mergeCell ref="B704:C704"/>
    <mergeCell ref="B706:C712"/>
    <mergeCell ref="D709:F709"/>
    <mergeCell ref="D710:E710"/>
    <mergeCell ref="B692:C692"/>
    <mergeCell ref="B693:C693"/>
    <mergeCell ref="B694:C694"/>
    <mergeCell ref="B699:C699"/>
    <mergeCell ref="B700:C700"/>
    <mergeCell ref="D701:F701"/>
    <mergeCell ref="B683:C683"/>
    <mergeCell ref="B684:C684"/>
    <mergeCell ref="B685:C685"/>
    <mergeCell ref="B688:C688"/>
    <mergeCell ref="B690:C690"/>
    <mergeCell ref="B691:C691"/>
    <mergeCell ref="B676:C676"/>
    <mergeCell ref="B677:C677"/>
    <mergeCell ref="B679:C679"/>
    <mergeCell ref="B680:C680"/>
    <mergeCell ref="B681:C681"/>
    <mergeCell ref="B682:C682"/>
    <mergeCell ref="B669:C669"/>
    <mergeCell ref="B670:C670"/>
    <mergeCell ref="B671:C671"/>
    <mergeCell ref="B672:C672"/>
    <mergeCell ref="B673:C673"/>
    <mergeCell ref="B675:C675"/>
    <mergeCell ref="D663:E663"/>
    <mergeCell ref="B664:C664"/>
    <mergeCell ref="B665:C665"/>
    <mergeCell ref="B666:C666"/>
    <mergeCell ref="B667:C667"/>
    <mergeCell ref="B668:C668"/>
    <mergeCell ref="D631:E631"/>
    <mergeCell ref="D637:F637"/>
    <mergeCell ref="D638:E638"/>
    <mergeCell ref="D659:F659"/>
    <mergeCell ref="D660:E660"/>
    <mergeCell ref="D662:F662"/>
    <mergeCell ref="B623:C623"/>
    <mergeCell ref="B624:C624"/>
    <mergeCell ref="D625:F625"/>
    <mergeCell ref="D626:E626"/>
    <mergeCell ref="D629:E629"/>
    <mergeCell ref="D630:E630"/>
    <mergeCell ref="D617:E617"/>
    <mergeCell ref="D618:E618"/>
    <mergeCell ref="B619:C619"/>
    <mergeCell ref="D620:F620"/>
    <mergeCell ref="D621:E621"/>
    <mergeCell ref="B622:C622"/>
    <mergeCell ref="B611:C611"/>
    <mergeCell ref="B612:C612"/>
    <mergeCell ref="B613:C613"/>
    <mergeCell ref="B614:C614"/>
    <mergeCell ref="B615:C615"/>
    <mergeCell ref="D616:E616"/>
    <mergeCell ref="D604:F604"/>
    <mergeCell ref="D605:E605"/>
    <mergeCell ref="B607:C607"/>
    <mergeCell ref="B608:C608"/>
    <mergeCell ref="B609:C609"/>
    <mergeCell ref="B610:C610"/>
    <mergeCell ref="D596:E596"/>
    <mergeCell ref="D597:E597"/>
    <mergeCell ref="D598:E598"/>
    <mergeCell ref="B601:C601"/>
    <mergeCell ref="B602:C602"/>
    <mergeCell ref="B603:C603"/>
    <mergeCell ref="B591:C591"/>
    <mergeCell ref="B592:C592"/>
    <mergeCell ref="B593:C593"/>
    <mergeCell ref="B594:C594"/>
    <mergeCell ref="B595:C595"/>
    <mergeCell ref="B596:C600"/>
    <mergeCell ref="B585:C585"/>
    <mergeCell ref="B586:C586"/>
    <mergeCell ref="B587:C587"/>
    <mergeCell ref="B588:C588"/>
    <mergeCell ref="B589:C589"/>
    <mergeCell ref="B590:C590"/>
    <mergeCell ref="B579:C579"/>
    <mergeCell ref="B580:C580"/>
    <mergeCell ref="B581:C581"/>
    <mergeCell ref="B582:C582"/>
    <mergeCell ref="B583:C583"/>
    <mergeCell ref="B584:C584"/>
    <mergeCell ref="B573:C573"/>
    <mergeCell ref="B574:C574"/>
    <mergeCell ref="B575:C575"/>
    <mergeCell ref="B576:C576"/>
    <mergeCell ref="B577:C577"/>
    <mergeCell ref="B578:C578"/>
    <mergeCell ref="B567:C567"/>
    <mergeCell ref="B568:C568"/>
    <mergeCell ref="B569:C569"/>
    <mergeCell ref="B570:C570"/>
    <mergeCell ref="B571:C571"/>
    <mergeCell ref="B572:C572"/>
    <mergeCell ref="B556:C556"/>
    <mergeCell ref="D557:F557"/>
    <mergeCell ref="D558:E558"/>
    <mergeCell ref="B562:C562"/>
    <mergeCell ref="B563:C563"/>
    <mergeCell ref="B564:C566"/>
    <mergeCell ref="D564:E564"/>
    <mergeCell ref="D565:E565"/>
    <mergeCell ref="D550:F550"/>
    <mergeCell ref="D551:E551"/>
    <mergeCell ref="D552:E552"/>
    <mergeCell ref="B553:C553"/>
    <mergeCell ref="B554:C554"/>
    <mergeCell ref="B555:C555"/>
    <mergeCell ref="B538:C538"/>
    <mergeCell ref="B539:C539"/>
    <mergeCell ref="B540:C547"/>
    <mergeCell ref="D540:E540"/>
    <mergeCell ref="D541:E541"/>
    <mergeCell ref="D542:E542"/>
    <mergeCell ref="B529:C529"/>
    <mergeCell ref="B530:C537"/>
    <mergeCell ref="D530:E530"/>
    <mergeCell ref="D531:E531"/>
    <mergeCell ref="D532:E532"/>
    <mergeCell ref="D534:F534"/>
    <mergeCell ref="D535:E535"/>
    <mergeCell ref="D536:E536"/>
    <mergeCell ref="D520:F520"/>
    <mergeCell ref="D521:E521"/>
    <mergeCell ref="D522:E522"/>
    <mergeCell ref="B523:C523"/>
    <mergeCell ref="B524:C524"/>
    <mergeCell ref="B525:C528"/>
    <mergeCell ref="D525:E525"/>
    <mergeCell ref="D526:E526"/>
    <mergeCell ref="D527:E527"/>
    <mergeCell ref="B512:C512"/>
    <mergeCell ref="B514:C514"/>
    <mergeCell ref="B515:C515"/>
    <mergeCell ref="B516:C516"/>
    <mergeCell ref="D517:F517"/>
    <mergeCell ref="D518:E518"/>
    <mergeCell ref="B506:C506"/>
    <mergeCell ref="B507:C507"/>
    <mergeCell ref="B508:C508"/>
    <mergeCell ref="B509:C509"/>
    <mergeCell ref="B510:C510"/>
    <mergeCell ref="B511:C511"/>
    <mergeCell ref="B500:C500"/>
    <mergeCell ref="B501:C501"/>
    <mergeCell ref="D502:F502"/>
    <mergeCell ref="D503:E503"/>
    <mergeCell ref="B504:C504"/>
    <mergeCell ref="B505:C505"/>
    <mergeCell ref="D494:E494"/>
    <mergeCell ref="D495:E495"/>
    <mergeCell ref="D496:E496"/>
    <mergeCell ref="B497:C497"/>
    <mergeCell ref="B498:C498"/>
    <mergeCell ref="B499:C499"/>
    <mergeCell ref="B488:C488"/>
    <mergeCell ref="B489:C492"/>
    <mergeCell ref="D489:E489"/>
    <mergeCell ref="D490:E490"/>
    <mergeCell ref="D491:E491"/>
    <mergeCell ref="B493:C493"/>
    <mergeCell ref="D481:F481"/>
    <mergeCell ref="D482:E482"/>
    <mergeCell ref="D484:F484"/>
    <mergeCell ref="D485:E485"/>
    <mergeCell ref="D486:E486"/>
    <mergeCell ref="B487:C487"/>
    <mergeCell ref="B475:C475"/>
    <mergeCell ref="B476:C476"/>
    <mergeCell ref="B477:C477"/>
    <mergeCell ref="B478:C478"/>
    <mergeCell ref="B479:C479"/>
    <mergeCell ref="B480:C480"/>
    <mergeCell ref="B469:C469"/>
    <mergeCell ref="B470:C470"/>
    <mergeCell ref="B471:C471"/>
    <mergeCell ref="B472:C472"/>
    <mergeCell ref="B473:C473"/>
    <mergeCell ref="B474:C474"/>
    <mergeCell ref="D463:E463"/>
    <mergeCell ref="B464:C464"/>
    <mergeCell ref="B465:C465"/>
    <mergeCell ref="B466:C466"/>
    <mergeCell ref="B467:C467"/>
    <mergeCell ref="B468:C468"/>
    <mergeCell ref="B457:C457"/>
    <mergeCell ref="B458:C458"/>
    <mergeCell ref="B459:C459"/>
    <mergeCell ref="B460:C460"/>
    <mergeCell ref="B461:C461"/>
    <mergeCell ref="D462:F462"/>
    <mergeCell ref="B451:C451"/>
    <mergeCell ref="B452:C452"/>
    <mergeCell ref="B453:C453"/>
    <mergeCell ref="D454:E454"/>
    <mergeCell ref="D455:E455"/>
    <mergeCell ref="D456:E456"/>
    <mergeCell ref="B443:C443"/>
    <mergeCell ref="B444:C444"/>
    <mergeCell ref="B445:C445"/>
    <mergeCell ref="B446:C446"/>
    <mergeCell ref="B447:C447"/>
    <mergeCell ref="B448:C448"/>
    <mergeCell ref="B437:C437"/>
    <mergeCell ref="B438:C438"/>
    <mergeCell ref="D439:E439"/>
    <mergeCell ref="D440:E440"/>
    <mergeCell ref="D441:E441"/>
    <mergeCell ref="B442:C442"/>
    <mergeCell ref="B405:C436"/>
    <mergeCell ref="D405:E405"/>
    <mergeCell ref="D406:E406"/>
    <mergeCell ref="D407:E407"/>
    <mergeCell ref="D420:F420"/>
    <mergeCell ref="D421:E421"/>
    <mergeCell ref="D422:E422"/>
    <mergeCell ref="D429:F429"/>
    <mergeCell ref="D430:E430"/>
    <mergeCell ref="B399:C399"/>
    <mergeCell ref="B400:C400"/>
    <mergeCell ref="D400:E400"/>
    <mergeCell ref="D401:E401"/>
    <mergeCell ref="D402:E402"/>
    <mergeCell ref="B404:C404"/>
    <mergeCell ref="B393:C393"/>
    <mergeCell ref="B394:C397"/>
    <mergeCell ref="D394:E394"/>
    <mergeCell ref="D395:E395"/>
    <mergeCell ref="D396:E396"/>
    <mergeCell ref="B398:C398"/>
    <mergeCell ref="D383:E383"/>
    <mergeCell ref="C386:C388"/>
    <mergeCell ref="D386:E386"/>
    <mergeCell ref="D387:E387"/>
    <mergeCell ref="D390:E390"/>
    <mergeCell ref="D391:E391"/>
    <mergeCell ref="B371:C371"/>
    <mergeCell ref="B372:C372"/>
    <mergeCell ref="B373:C373"/>
    <mergeCell ref="D374:F374"/>
    <mergeCell ref="D375:E375"/>
    <mergeCell ref="D382:E382"/>
    <mergeCell ref="D365:F365"/>
    <mergeCell ref="D366:E366"/>
    <mergeCell ref="D367:E367"/>
    <mergeCell ref="B368:C368"/>
    <mergeCell ref="B369:C369"/>
    <mergeCell ref="B370:C370"/>
    <mergeCell ref="B356:C356"/>
    <mergeCell ref="B357:C357"/>
    <mergeCell ref="B358:C358"/>
    <mergeCell ref="B361:C361"/>
    <mergeCell ref="D362:F362"/>
    <mergeCell ref="D363:E363"/>
    <mergeCell ref="B350:C350"/>
    <mergeCell ref="B351:C351"/>
    <mergeCell ref="B352:C352"/>
    <mergeCell ref="B353:C353"/>
    <mergeCell ref="B354:C354"/>
    <mergeCell ref="B355:C355"/>
    <mergeCell ref="B344:C344"/>
    <mergeCell ref="B345:C345"/>
    <mergeCell ref="B346:C346"/>
    <mergeCell ref="B347:C347"/>
    <mergeCell ref="B348:C348"/>
    <mergeCell ref="B349:C349"/>
    <mergeCell ref="B337:C337"/>
    <mergeCell ref="B338:C338"/>
    <mergeCell ref="D339:F339"/>
    <mergeCell ref="D340:E340"/>
    <mergeCell ref="B342:C342"/>
    <mergeCell ref="B343:C343"/>
    <mergeCell ref="D331:E331"/>
    <mergeCell ref="D332:E332"/>
    <mergeCell ref="D333:E333"/>
    <mergeCell ref="B334:C334"/>
    <mergeCell ref="B335:C335"/>
    <mergeCell ref="B336:C336"/>
    <mergeCell ref="B325:C325"/>
    <mergeCell ref="B326:C329"/>
    <mergeCell ref="D326:E326"/>
    <mergeCell ref="D327:E327"/>
    <mergeCell ref="D328:E328"/>
    <mergeCell ref="B330:C330"/>
    <mergeCell ref="D311:E311"/>
    <mergeCell ref="D312:E312"/>
    <mergeCell ref="D316:F316"/>
    <mergeCell ref="D317:E317"/>
    <mergeCell ref="B321:C321"/>
    <mergeCell ref="B322:C324"/>
    <mergeCell ref="D322:E322"/>
    <mergeCell ref="D323:E323"/>
    <mergeCell ref="B296:C296"/>
    <mergeCell ref="B297:C320"/>
    <mergeCell ref="D297:E297"/>
    <mergeCell ref="D298:E298"/>
    <mergeCell ref="D299:E299"/>
    <mergeCell ref="D303:F303"/>
    <mergeCell ref="D304:E304"/>
    <mergeCell ref="D306:F306"/>
    <mergeCell ref="D307:E307"/>
    <mergeCell ref="D310:F310"/>
    <mergeCell ref="B290:C290"/>
    <mergeCell ref="B291:C291"/>
    <mergeCell ref="B292:C292"/>
    <mergeCell ref="B293:C293"/>
    <mergeCell ref="B294:C294"/>
    <mergeCell ref="B295:C295"/>
    <mergeCell ref="B284:C284"/>
    <mergeCell ref="B285:C285"/>
    <mergeCell ref="B286:C286"/>
    <mergeCell ref="B287:C287"/>
    <mergeCell ref="B288:C288"/>
    <mergeCell ref="B289:C289"/>
    <mergeCell ref="B273:C273"/>
    <mergeCell ref="B274:C274"/>
    <mergeCell ref="B275:C283"/>
    <mergeCell ref="D275:E275"/>
    <mergeCell ref="D276:E276"/>
    <mergeCell ref="D277:E277"/>
    <mergeCell ref="D281:F281"/>
    <mergeCell ref="D282:E282"/>
    <mergeCell ref="B265:C265"/>
    <mergeCell ref="B266:C268"/>
    <mergeCell ref="D266:E266"/>
    <mergeCell ref="D267:E267"/>
    <mergeCell ref="C270:C272"/>
    <mergeCell ref="D270:E270"/>
    <mergeCell ref="D271:E271"/>
    <mergeCell ref="B259:C259"/>
    <mergeCell ref="B260:C260"/>
    <mergeCell ref="B261:C263"/>
    <mergeCell ref="D261:E261"/>
    <mergeCell ref="D262:E262"/>
    <mergeCell ref="B264:C264"/>
    <mergeCell ref="B253:C255"/>
    <mergeCell ref="D253:E253"/>
    <mergeCell ref="D254:E254"/>
    <mergeCell ref="D256:F256"/>
    <mergeCell ref="D257:E257"/>
    <mergeCell ref="D258:E258"/>
    <mergeCell ref="B245:C245"/>
    <mergeCell ref="B248:C248"/>
    <mergeCell ref="B249:C249"/>
    <mergeCell ref="B250:C250"/>
    <mergeCell ref="B251:C251"/>
    <mergeCell ref="B252:C252"/>
    <mergeCell ref="B236:C236"/>
    <mergeCell ref="B240:C240"/>
    <mergeCell ref="B241:C241"/>
    <mergeCell ref="B242:C242"/>
    <mergeCell ref="B243:C243"/>
    <mergeCell ref="B244:C244"/>
    <mergeCell ref="B228:C228"/>
    <mergeCell ref="B231:C231"/>
    <mergeCell ref="B232:C232"/>
    <mergeCell ref="B233:C233"/>
    <mergeCell ref="B234:C234"/>
    <mergeCell ref="B235:C235"/>
    <mergeCell ref="B222:C222"/>
    <mergeCell ref="B223:C223"/>
    <mergeCell ref="B224:C224"/>
    <mergeCell ref="B225:C225"/>
    <mergeCell ref="B226:C226"/>
    <mergeCell ref="B227:C227"/>
    <mergeCell ref="D215:E215"/>
    <mergeCell ref="B217:C217"/>
    <mergeCell ref="B218:C218"/>
    <mergeCell ref="B219:C221"/>
    <mergeCell ref="D219:E219"/>
    <mergeCell ref="D220:E220"/>
    <mergeCell ref="B208:C208"/>
    <mergeCell ref="D210:F210"/>
    <mergeCell ref="D211:E211"/>
    <mergeCell ref="B212:C212"/>
    <mergeCell ref="D213:F213"/>
    <mergeCell ref="D214:E214"/>
    <mergeCell ref="B202:C202"/>
    <mergeCell ref="D203:E203"/>
    <mergeCell ref="D204:E204"/>
    <mergeCell ref="D205:E205"/>
    <mergeCell ref="B206:C206"/>
    <mergeCell ref="B207:C207"/>
    <mergeCell ref="D195:E195"/>
    <mergeCell ref="B196:C196"/>
    <mergeCell ref="B197:C197"/>
    <mergeCell ref="B198:C198"/>
    <mergeCell ref="D199:F199"/>
    <mergeCell ref="D200:E200"/>
    <mergeCell ref="C187:C192"/>
    <mergeCell ref="D187:F187"/>
    <mergeCell ref="D188:E188"/>
    <mergeCell ref="D189:E189"/>
    <mergeCell ref="B193:C193"/>
    <mergeCell ref="D194:E194"/>
    <mergeCell ref="B177:C177"/>
    <mergeCell ref="D178:E178"/>
    <mergeCell ref="D179:E179"/>
    <mergeCell ref="D180:E180"/>
    <mergeCell ref="D183:F183"/>
    <mergeCell ref="D184:E184"/>
    <mergeCell ref="B130:C176"/>
    <mergeCell ref="D130:E130"/>
    <mergeCell ref="D131:E131"/>
    <mergeCell ref="D166:F166"/>
    <mergeCell ref="D167:E167"/>
    <mergeCell ref="D168:E168"/>
    <mergeCell ref="D172:F172"/>
    <mergeCell ref="D173:E173"/>
    <mergeCell ref="D121:E121"/>
    <mergeCell ref="B125:C125"/>
    <mergeCell ref="B126:C128"/>
    <mergeCell ref="D126:E126"/>
    <mergeCell ref="D127:E127"/>
    <mergeCell ref="B129:C129"/>
    <mergeCell ref="D111:F111"/>
    <mergeCell ref="D112:E112"/>
    <mergeCell ref="D114:F114"/>
    <mergeCell ref="D115:E115"/>
    <mergeCell ref="D116:E116"/>
    <mergeCell ref="D120:F120"/>
    <mergeCell ref="D87:E87"/>
    <mergeCell ref="D88:E88"/>
    <mergeCell ref="B89:C89"/>
    <mergeCell ref="B90:C90"/>
    <mergeCell ref="B91:C124"/>
    <mergeCell ref="D91:E91"/>
    <mergeCell ref="D92:E92"/>
    <mergeCell ref="D93:E93"/>
    <mergeCell ref="D99:F99"/>
    <mergeCell ref="D100:E100"/>
    <mergeCell ref="B80:C80"/>
    <mergeCell ref="B81:C81"/>
    <mergeCell ref="B82:C82"/>
    <mergeCell ref="D83:F83"/>
    <mergeCell ref="D84:E84"/>
    <mergeCell ref="D86:F86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D64:F64"/>
    <mergeCell ref="D65:E65"/>
    <mergeCell ref="B67:C67"/>
    <mergeCell ref="B55:C55"/>
    <mergeCell ref="D56:E56"/>
    <mergeCell ref="D57:E57"/>
    <mergeCell ref="D58:E58"/>
    <mergeCell ref="B59:C59"/>
    <mergeCell ref="B60:C60"/>
    <mergeCell ref="D39:F39"/>
    <mergeCell ref="D40:E40"/>
    <mergeCell ref="D41:E41"/>
    <mergeCell ref="B43:C43"/>
    <mergeCell ref="B44:C44"/>
    <mergeCell ref="B45:C54"/>
    <mergeCell ref="D45:E45"/>
    <mergeCell ref="D46:E46"/>
    <mergeCell ref="D47:E47"/>
    <mergeCell ref="D51:E51"/>
    <mergeCell ref="B34:C34"/>
    <mergeCell ref="B35:C35"/>
    <mergeCell ref="D36:F36"/>
    <mergeCell ref="D37:E37"/>
    <mergeCell ref="B24:C24"/>
    <mergeCell ref="B25:C25"/>
    <mergeCell ref="B26:C26"/>
    <mergeCell ref="B28:C28"/>
    <mergeCell ref="B29:C29"/>
    <mergeCell ref="B30:C30"/>
    <mergeCell ref="D17:E17"/>
    <mergeCell ref="B19:C19"/>
    <mergeCell ref="B20:C20"/>
    <mergeCell ref="B21:C21"/>
    <mergeCell ref="B22:C22"/>
    <mergeCell ref="B23:C23"/>
    <mergeCell ref="B61:C61"/>
    <mergeCell ref="B11:C11"/>
    <mergeCell ref="B12:C12"/>
    <mergeCell ref="B13:C13"/>
    <mergeCell ref="B14:C14"/>
    <mergeCell ref="B15:C15"/>
    <mergeCell ref="D16:F16"/>
    <mergeCell ref="E1:F1"/>
    <mergeCell ref="A3:F3"/>
    <mergeCell ref="B4:C4"/>
    <mergeCell ref="B6:C6"/>
    <mergeCell ref="B7:C7"/>
    <mergeCell ref="B8:C10"/>
    <mergeCell ref="D8:E8"/>
    <mergeCell ref="D9:E9"/>
    <mergeCell ref="D10:E10"/>
    <mergeCell ref="B31:C31"/>
    <mergeCell ref="B32:C32"/>
  </mergeCells>
  <printOptions horizontalCentered="1"/>
  <pageMargins left="0.74803149606299213" right="0.31496062992125984" top="0.78740157480314965" bottom="0.78740157480314965" header="0.51181102362204722" footer="0.51181102362204722"/>
  <pageSetup paperSize="9" scale="78" fitToHeight="0" orientation="portrait" r:id="rId1"/>
  <headerFooter>
    <oddFooter>Strona &amp;P z &amp;N</oddFooter>
  </headerFooter>
  <rowBreaks count="6" manualBreakCount="6">
    <brk id="50" max="5" man="1"/>
    <brk id="256" max="5" man="1"/>
    <brk id="1135" max="5" man="1"/>
    <brk id="1234" max="5" man="1"/>
    <brk id="1740" max="5" man="1"/>
    <brk id="1788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E34"/>
  <sheetViews>
    <sheetView view="pageBreakPreview" zoomScaleNormal="100" zoomScaleSheetLayoutView="100" workbookViewId="0">
      <selection activeCell="L3" sqref="L3"/>
    </sheetView>
  </sheetViews>
  <sheetFormatPr defaultRowHeight="12.75"/>
  <cols>
    <col min="1" max="1" width="5.85546875" style="199" customWidth="1"/>
    <col min="2" max="2" width="49.7109375" style="199" customWidth="1"/>
    <col min="3" max="4" width="14.5703125" style="199" customWidth="1"/>
    <col min="5" max="5" width="9" style="199" customWidth="1"/>
    <col min="6" max="256" width="9.140625" style="199"/>
    <col min="257" max="257" width="5.85546875" style="199" customWidth="1"/>
    <col min="258" max="258" width="45.42578125" style="199" customWidth="1"/>
    <col min="259" max="260" width="14.5703125" style="199" customWidth="1"/>
    <col min="261" max="261" width="9" style="199" customWidth="1"/>
    <col min="262" max="512" width="9.140625" style="199"/>
    <col min="513" max="513" width="5.85546875" style="199" customWidth="1"/>
    <col min="514" max="514" width="45.42578125" style="199" customWidth="1"/>
    <col min="515" max="516" width="14.5703125" style="199" customWidth="1"/>
    <col min="517" max="517" width="9" style="199" customWidth="1"/>
    <col min="518" max="768" width="9.140625" style="199"/>
    <col min="769" max="769" width="5.85546875" style="199" customWidth="1"/>
    <col min="770" max="770" width="45.42578125" style="199" customWidth="1"/>
    <col min="771" max="772" width="14.5703125" style="199" customWidth="1"/>
    <col min="773" max="773" width="9" style="199" customWidth="1"/>
    <col min="774" max="1024" width="9.140625" style="199"/>
    <col min="1025" max="1025" width="5.85546875" style="199" customWidth="1"/>
    <col min="1026" max="1026" width="45.42578125" style="199" customWidth="1"/>
    <col min="1027" max="1028" width="14.5703125" style="199" customWidth="1"/>
    <col min="1029" max="1029" width="9" style="199" customWidth="1"/>
    <col min="1030" max="1280" width="9.140625" style="199"/>
    <col min="1281" max="1281" width="5.85546875" style="199" customWidth="1"/>
    <col min="1282" max="1282" width="45.42578125" style="199" customWidth="1"/>
    <col min="1283" max="1284" width="14.5703125" style="199" customWidth="1"/>
    <col min="1285" max="1285" width="9" style="199" customWidth="1"/>
    <col min="1286" max="1536" width="9.140625" style="199"/>
    <col min="1537" max="1537" width="5.85546875" style="199" customWidth="1"/>
    <col min="1538" max="1538" width="45.42578125" style="199" customWidth="1"/>
    <col min="1539" max="1540" width="14.5703125" style="199" customWidth="1"/>
    <col min="1541" max="1541" width="9" style="199" customWidth="1"/>
    <col min="1542" max="1792" width="9.140625" style="199"/>
    <col min="1793" max="1793" width="5.85546875" style="199" customWidth="1"/>
    <col min="1794" max="1794" width="45.42578125" style="199" customWidth="1"/>
    <col min="1795" max="1796" width="14.5703125" style="199" customWidth="1"/>
    <col min="1797" max="1797" width="9" style="199" customWidth="1"/>
    <col min="1798" max="2048" width="9.140625" style="199"/>
    <col min="2049" max="2049" width="5.85546875" style="199" customWidth="1"/>
    <col min="2050" max="2050" width="45.42578125" style="199" customWidth="1"/>
    <col min="2051" max="2052" width="14.5703125" style="199" customWidth="1"/>
    <col min="2053" max="2053" width="9" style="199" customWidth="1"/>
    <col min="2054" max="2304" width="9.140625" style="199"/>
    <col min="2305" max="2305" width="5.85546875" style="199" customWidth="1"/>
    <col min="2306" max="2306" width="45.42578125" style="199" customWidth="1"/>
    <col min="2307" max="2308" width="14.5703125" style="199" customWidth="1"/>
    <col min="2309" max="2309" width="9" style="199" customWidth="1"/>
    <col min="2310" max="2560" width="9.140625" style="199"/>
    <col min="2561" max="2561" width="5.85546875" style="199" customWidth="1"/>
    <col min="2562" max="2562" width="45.42578125" style="199" customWidth="1"/>
    <col min="2563" max="2564" width="14.5703125" style="199" customWidth="1"/>
    <col min="2565" max="2565" width="9" style="199" customWidth="1"/>
    <col min="2566" max="2816" width="9.140625" style="199"/>
    <col min="2817" max="2817" width="5.85546875" style="199" customWidth="1"/>
    <col min="2818" max="2818" width="45.42578125" style="199" customWidth="1"/>
    <col min="2819" max="2820" width="14.5703125" style="199" customWidth="1"/>
    <col min="2821" max="2821" width="9" style="199" customWidth="1"/>
    <col min="2822" max="3072" width="9.140625" style="199"/>
    <col min="3073" max="3073" width="5.85546875" style="199" customWidth="1"/>
    <col min="3074" max="3074" width="45.42578125" style="199" customWidth="1"/>
    <col min="3075" max="3076" width="14.5703125" style="199" customWidth="1"/>
    <col min="3077" max="3077" width="9" style="199" customWidth="1"/>
    <col min="3078" max="3328" width="9.140625" style="199"/>
    <col min="3329" max="3329" width="5.85546875" style="199" customWidth="1"/>
    <col min="3330" max="3330" width="45.42578125" style="199" customWidth="1"/>
    <col min="3331" max="3332" width="14.5703125" style="199" customWidth="1"/>
    <col min="3333" max="3333" width="9" style="199" customWidth="1"/>
    <col min="3334" max="3584" width="9.140625" style="199"/>
    <col min="3585" max="3585" width="5.85546875" style="199" customWidth="1"/>
    <col min="3586" max="3586" width="45.42578125" style="199" customWidth="1"/>
    <col min="3587" max="3588" width="14.5703125" style="199" customWidth="1"/>
    <col min="3589" max="3589" width="9" style="199" customWidth="1"/>
    <col min="3590" max="3840" width="9.140625" style="199"/>
    <col min="3841" max="3841" width="5.85546875" style="199" customWidth="1"/>
    <col min="3842" max="3842" width="45.42578125" style="199" customWidth="1"/>
    <col min="3843" max="3844" width="14.5703125" style="199" customWidth="1"/>
    <col min="3845" max="3845" width="9" style="199" customWidth="1"/>
    <col min="3846" max="4096" width="9.140625" style="199"/>
    <col min="4097" max="4097" width="5.85546875" style="199" customWidth="1"/>
    <col min="4098" max="4098" width="45.42578125" style="199" customWidth="1"/>
    <col min="4099" max="4100" width="14.5703125" style="199" customWidth="1"/>
    <col min="4101" max="4101" width="9" style="199" customWidth="1"/>
    <col min="4102" max="4352" width="9.140625" style="199"/>
    <col min="4353" max="4353" width="5.85546875" style="199" customWidth="1"/>
    <col min="4354" max="4354" width="45.42578125" style="199" customWidth="1"/>
    <col min="4355" max="4356" width="14.5703125" style="199" customWidth="1"/>
    <col min="4357" max="4357" width="9" style="199" customWidth="1"/>
    <col min="4358" max="4608" width="9.140625" style="199"/>
    <col min="4609" max="4609" width="5.85546875" style="199" customWidth="1"/>
    <col min="4610" max="4610" width="45.42578125" style="199" customWidth="1"/>
    <col min="4611" max="4612" width="14.5703125" style="199" customWidth="1"/>
    <col min="4613" max="4613" width="9" style="199" customWidth="1"/>
    <col min="4614" max="4864" width="9.140625" style="199"/>
    <col min="4865" max="4865" width="5.85546875" style="199" customWidth="1"/>
    <col min="4866" max="4866" width="45.42578125" style="199" customWidth="1"/>
    <col min="4867" max="4868" width="14.5703125" style="199" customWidth="1"/>
    <col min="4869" max="4869" width="9" style="199" customWidth="1"/>
    <col min="4870" max="5120" width="9.140625" style="199"/>
    <col min="5121" max="5121" width="5.85546875" style="199" customWidth="1"/>
    <col min="5122" max="5122" width="45.42578125" style="199" customWidth="1"/>
    <col min="5123" max="5124" width="14.5703125" style="199" customWidth="1"/>
    <col min="5125" max="5125" width="9" style="199" customWidth="1"/>
    <col min="5126" max="5376" width="9.140625" style="199"/>
    <col min="5377" max="5377" width="5.85546875" style="199" customWidth="1"/>
    <col min="5378" max="5378" width="45.42578125" style="199" customWidth="1"/>
    <col min="5379" max="5380" width="14.5703125" style="199" customWidth="1"/>
    <col min="5381" max="5381" width="9" style="199" customWidth="1"/>
    <col min="5382" max="5632" width="9.140625" style="199"/>
    <col min="5633" max="5633" width="5.85546875" style="199" customWidth="1"/>
    <col min="5634" max="5634" width="45.42578125" style="199" customWidth="1"/>
    <col min="5635" max="5636" width="14.5703125" style="199" customWidth="1"/>
    <col min="5637" max="5637" width="9" style="199" customWidth="1"/>
    <col min="5638" max="5888" width="9.140625" style="199"/>
    <col min="5889" max="5889" width="5.85546875" style="199" customWidth="1"/>
    <col min="5890" max="5890" width="45.42578125" style="199" customWidth="1"/>
    <col min="5891" max="5892" width="14.5703125" style="199" customWidth="1"/>
    <col min="5893" max="5893" width="9" style="199" customWidth="1"/>
    <col min="5894" max="6144" width="9.140625" style="199"/>
    <col min="6145" max="6145" width="5.85546875" style="199" customWidth="1"/>
    <col min="6146" max="6146" width="45.42578125" style="199" customWidth="1"/>
    <col min="6147" max="6148" width="14.5703125" style="199" customWidth="1"/>
    <col min="6149" max="6149" width="9" style="199" customWidth="1"/>
    <col min="6150" max="6400" width="9.140625" style="199"/>
    <col min="6401" max="6401" width="5.85546875" style="199" customWidth="1"/>
    <col min="6402" max="6402" width="45.42578125" style="199" customWidth="1"/>
    <col min="6403" max="6404" width="14.5703125" style="199" customWidth="1"/>
    <col min="6405" max="6405" width="9" style="199" customWidth="1"/>
    <col min="6406" max="6656" width="9.140625" style="199"/>
    <col min="6657" max="6657" width="5.85546875" style="199" customWidth="1"/>
    <col min="6658" max="6658" width="45.42578125" style="199" customWidth="1"/>
    <col min="6659" max="6660" width="14.5703125" style="199" customWidth="1"/>
    <col min="6661" max="6661" width="9" style="199" customWidth="1"/>
    <col min="6662" max="6912" width="9.140625" style="199"/>
    <col min="6913" max="6913" width="5.85546875" style="199" customWidth="1"/>
    <col min="6914" max="6914" width="45.42578125" style="199" customWidth="1"/>
    <col min="6915" max="6916" width="14.5703125" style="199" customWidth="1"/>
    <col min="6917" max="6917" width="9" style="199" customWidth="1"/>
    <col min="6918" max="7168" width="9.140625" style="199"/>
    <col min="7169" max="7169" width="5.85546875" style="199" customWidth="1"/>
    <col min="7170" max="7170" width="45.42578125" style="199" customWidth="1"/>
    <col min="7171" max="7172" width="14.5703125" style="199" customWidth="1"/>
    <col min="7173" max="7173" width="9" style="199" customWidth="1"/>
    <col min="7174" max="7424" width="9.140625" style="199"/>
    <col min="7425" max="7425" width="5.85546875" style="199" customWidth="1"/>
    <col min="7426" max="7426" width="45.42578125" style="199" customWidth="1"/>
    <col min="7427" max="7428" width="14.5703125" style="199" customWidth="1"/>
    <col min="7429" max="7429" width="9" style="199" customWidth="1"/>
    <col min="7430" max="7680" width="9.140625" style="199"/>
    <col min="7681" max="7681" width="5.85546875" style="199" customWidth="1"/>
    <col min="7682" max="7682" width="45.42578125" style="199" customWidth="1"/>
    <col min="7683" max="7684" width="14.5703125" style="199" customWidth="1"/>
    <col min="7685" max="7685" width="9" style="199" customWidth="1"/>
    <col min="7686" max="7936" width="9.140625" style="199"/>
    <col min="7937" max="7937" width="5.85546875" style="199" customWidth="1"/>
    <col min="7938" max="7938" width="45.42578125" style="199" customWidth="1"/>
    <col min="7939" max="7940" width="14.5703125" style="199" customWidth="1"/>
    <col min="7941" max="7941" width="9" style="199" customWidth="1"/>
    <col min="7942" max="8192" width="9.140625" style="199"/>
    <col min="8193" max="8193" width="5.85546875" style="199" customWidth="1"/>
    <col min="8194" max="8194" width="45.42578125" style="199" customWidth="1"/>
    <col min="8195" max="8196" width="14.5703125" style="199" customWidth="1"/>
    <col min="8197" max="8197" width="9" style="199" customWidth="1"/>
    <col min="8198" max="8448" width="9.140625" style="199"/>
    <col min="8449" max="8449" width="5.85546875" style="199" customWidth="1"/>
    <col min="8450" max="8450" width="45.42578125" style="199" customWidth="1"/>
    <col min="8451" max="8452" width="14.5703125" style="199" customWidth="1"/>
    <col min="8453" max="8453" width="9" style="199" customWidth="1"/>
    <col min="8454" max="8704" width="9.140625" style="199"/>
    <col min="8705" max="8705" width="5.85546875" style="199" customWidth="1"/>
    <col min="8706" max="8706" width="45.42578125" style="199" customWidth="1"/>
    <col min="8707" max="8708" width="14.5703125" style="199" customWidth="1"/>
    <col min="8709" max="8709" width="9" style="199" customWidth="1"/>
    <col min="8710" max="8960" width="9.140625" style="199"/>
    <col min="8961" max="8961" width="5.85546875" style="199" customWidth="1"/>
    <col min="8962" max="8962" width="45.42578125" style="199" customWidth="1"/>
    <col min="8963" max="8964" width="14.5703125" style="199" customWidth="1"/>
    <col min="8965" max="8965" width="9" style="199" customWidth="1"/>
    <col min="8966" max="9216" width="9.140625" style="199"/>
    <col min="9217" max="9217" width="5.85546875" style="199" customWidth="1"/>
    <col min="9218" max="9218" width="45.42578125" style="199" customWidth="1"/>
    <col min="9219" max="9220" width="14.5703125" style="199" customWidth="1"/>
    <col min="9221" max="9221" width="9" style="199" customWidth="1"/>
    <col min="9222" max="9472" width="9.140625" style="199"/>
    <col min="9473" max="9473" width="5.85546875" style="199" customWidth="1"/>
    <col min="9474" max="9474" width="45.42578125" style="199" customWidth="1"/>
    <col min="9475" max="9476" width="14.5703125" style="199" customWidth="1"/>
    <col min="9477" max="9477" width="9" style="199" customWidth="1"/>
    <col min="9478" max="9728" width="9.140625" style="199"/>
    <col min="9729" max="9729" width="5.85546875" style="199" customWidth="1"/>
    <col min="9730" max="9730" width="45.42578125" style="199" customWidth="1"/>
    <col min="9731" max="9732" width="14.5703125" style="199" customWidth="1"/>
    <col min="9733" max="9733" width="9" style="199" customWidth="1"/>
    <col min="9734" max="9984" width="9.140625" style="199"/>
    <col min="9985" max="9985" width="5.85546875" style="199" customWidth="1"/>
    <col min="9986" max="9986" width="45.42578125" style="199" customWidth="1"/>
    <col min="9987" max="9988" width="14.5703125" style="199" customWidth="1"/>
    <col min="9989" max="9989" width="9" style="199" customWidth="1"/>
    <col min="9990" max="10240" width="9.140625" style="199"/>
    <col min="10241" max="10241" width="5.85546875" style="199" customWidth="1"/>
    <col min="10242" max="10242" width="45.42578125" style="199" customWidth="1"/>
    <col min="10243" max="10244" width="14.5703125" style="199" customWidth="1"/>
    <col min="10245" max="10245" width="9" style="199" customWidth="1"/>
    <col min="10246" max="10496" width="9.140625" style="199"/>
    <col min="10497" max="10497" width="5.85546875" style="199" customWidth="1"/>
    <col min="10498" max="10498" width="45.42578125" style="199" customWidth="1"/>
    <col min="10499" max="10500" width="14.5703125" style="199" customWidth="1"/>
    <col min="10501" max="10501" width="9" style="199" customWidth="1"/>
    <col min="10502" max="10752" width="9.140625" style="199"/>
    <col min="10753" max="10753" width="5.85546875" style="199" customWidth="1"/>
    <col min="10754" max="10754" width="45.42578125" style="199" customWidth="1"/>
    <col min="10755" max="10756" width="14.5703125" style="199" customWidth="1"/>
    <col min="10757" max="10757" width="9" style="199" customWidth="1"/>
    <col min="10758" max="11008" width="9.140625" style="199"/>
    <col min="11009" max="11009" width="5.85546875" style="199" customWidth="1"/>
    <col min="11010" max="11010" width="45.42578125" style="199" customWidth="1"/>
    <col min="11011" max="11012" width="14.5703125" style="199" customWidth="1"/>
    <col min="11013" max="11013" width="9" style="199" customWidth="1"/>
    <col min="11014" max="11264" width="9.140625" style="199"/>
    <col min="11265" max="11265" width="5.85546875" style="199" customWidth="1"/>
    <col min="11266" max="11266" width="45.42578125" style="199" customWidth="1"/>
    <col min="11267" max="11268" width="14.5703125" style="199" customWidth="1"/>
    <col min="11269" max="11269" width="9" style="199" customWidth="1"/>
    <col min="11270" max="11520" width="9.140625" style="199"/>
    <col min="11521" max="11521" width="5.85546875" style="199" customWidth="1"/>
    <col min="11522" max="11522" width="45.42578125" style="199" customWidth="1"/>
    <col min="11523" max="11524" width="14.5703125" style="199" customWidth="1"/>
    <col min="11525" max="11525" width="9" style="199" customWidth="1"/>
    <col min="11526" max="11776" width="9.140625" style="199"/>
    <col min="11777" max="11777" width="5.85546875" style="199" customWidth="1"/>
    <col min="11778" max="11778" width="45.42578125" style="199" customWidth="1"/>
    <col min="11779" max="11780" width="14.5703125" style="199" customWidth="1"/>
    <col min="11781" max="11781" width="9" style="199" customWidth="1"/>
    <col min="11782" max="12032" width="9.140625" style="199"/>
    <col min="12033" max="12033" width="5.85546875" style="199" customWidth="1"/>
    <col min="12034" max="12034" width="45.42578125" style="199" customWidth="1"/>
    <col min="12035" max="12036" width="14.5703125" style="199" customWidth="1"/>
    <col min="12037" max="12037" width="9" style="199" customWidth="1"/>
    <col min="12038" max="12288" width="9.140625" style="199"/>
    <col min="12289" max="12289" width="5.85546875" style="199" customWidth="1"/>
    <col min="12290" max="12290" width="45.42578125" style="199" customWidth="1"/>
    <col min="12291" max="12292" width="14.5703125" style="199" customWidth="1"/>
    <col min="12293" max="12293" width="9" style="199" customWidth="1"/>
    <col min="12294" max="12544" width="9.140625" style="199"/>
    <col min="12545" max="12545" width="5.85546875" style="199" customWidth="1"/>
    <col min="12546" max="12546" width="45.42578125" style="199" customWidth="1"/>
    <col min="12547" max="12548" width="14.5703125" style="199" customWidth="1"/>
    <col min="12549" max="12549" width="9" style="199" customWidth="1"/>
    <col min="12550" max="12800" width="9.140625" style="199"/>
    <col min="12801" max="12801" width="5.85546875" style="199" customWidth="1"/>
    <col min="12802" max="12802" width="45.42578125" style="199" customWidth="1"/>
    <col min="12803" max="12804" width="14.5703125" style="199" customWidth="1"/>
    <col min="12805" max="12805" width="9" style="199" customWidth="1"/>
    <col min="12806" max="13056" width="9.140625" style="199"/>
    <col min="13057" max="13057" width="5.85546875" style="199" customWidth="1"/>
    <col min="13058" max="13058" width="45.42578125" style="199" customWidth="1"/>
    <col min="13059" max="13060" width="14.5703125" style="199" customWidth="1"/>
    <col min="13061" max="13061" width="9" style="199" customWidth="1"/>
    <col min="13062" max="13312" width="9.140625" style="199"/>
    <col min="13313" max="13313" width="5.85546875" style="199" customWidth="1"/>
    <col min="13314" max="13314" width="45.42578125" style="199" customWidth="1"/>
    <col min="13315" max="13316" width="14.5703125" style="199" customWidth="1"/>
    <col min="13317" max="13317" width="9" style="199" customWidth="1"/>
    <col min="13318" max="13568" width="9.140625" style="199"/>
    <col min="13569" max="13569" width="5.85546875" style="199" customWidth="1"/>
    <col min="13570" max="13570" width="45.42578125" style="199" customWidth="1"/>
    <col min="13571" max="13572" width="14.5703125" style="199" customWidth="1"/>
    <col min="13573" max="13573" width="9" style="199" customWidth="1"/>
    <col min="13574" max="13824" width="9.140625" style="199"/>
    <col min="13825" max="13825" width="5.85546875" style="199" customWidth="1"/>
    <col min="13826" max="13826" width="45.42578125" style="199" customWidth="1"/>
    <col min="13827" max="13828" width="14.5703125" style="199" customWidth="1"/>
    <col min="13829" max="13829" width="9" style="199" customWidth="1"/>
    <col min="13830" max="14080" width="9.140625" style="199"/>
    <col min="14081" max="14081" width="5.85546875" style="199" customWidth="1"/>
    <col min="14082" max="14082" width="45.42578125" style="199" customWidth="1"/>
    <col min="14083" max="14084" width="14.5703125" style="199" customWidth="1"/>
    <col min="14085" max="14085" width="9" style="199" customWidth="1"/>
    <col min="14086" max="14336" width="9.140625" style="199"/>
    <col min="14337" max="14337" width="5.85546875" style="199" customWidth="1"/>
    <col min="14338" max="14338" width="45.42578125" style="199" customWidth="1"/>
    <col min="14339" max="14340" width="14.5703125" style="199" customWidth="1"/>
    <col min="14341" max="14341" width="9" style="199" customWidth="1"/>
    <col min="14342" max="14592" width="9.140625" style="199"/>
    <col min="14593" max="14593" width="5.85546875" style="199" customWidth="1"/>
    <col min="14594" max="14594" width="45.42578125" style="199" customWidth="1"/>
    <col min="14595" max="14596" width="14.5703125" style="199" customWidth="1"/>
    <col min="14597" max="14597" width="9" style="199" customWidth="1"/>
    <col min="14598" max="14848" width="9.140625" style="199"/>
    <col min="14849" max="14849" width="5.85546875" style="199" customWidth="1"/>
    <col min="14850" max="14850" width="45.42578125" style="199" customWidth="1"/>
    <col min="14851" max="14852" width="14.5703125" style="199" customWidth="1"/>
    <col min="14853" max="14853" width="9" style="199" customWidth="1"/>
    <col min="14854" max="15104" width="9.140625" style="199"/>
    <col min="15105" max="15105" width="5.85546875" style="199" customWidth="1"/>
    <col min="15106" max="15106" width="45.42578125" style="199" customWidth="1"/>
    <col min="15107" max="15108" width="14.5703125" style="199" customWidth="1"/>
    <col min="15109" max="15109" width="9" style="199" customWidth="1"/>
    <col min="15110" max="15360" width="9.140625" style="199"/>
    <col min="15361" max="15361" width="5.85546875" style="199" customWidth="1"/>
    <col min="15362" max="15362" width="45.42578125" style="199" customWidth="1"/>
    <col min="15363" max="15364" width="14.5703125" style="199" customWidth="1"/>
    <col min="15365" max="15365" width="9" style="199" customWidth="1"/>
    <col min="15366" max="15616" width="9.140625" style="199"/>
    <col min="15617" max="15617" width="5.85546875" style="199" customWidth="1"/>
    <col min="15618" max="15618" width="45.42578125" style="199" customWidth="1"/>
    <col min="15619" max="15620" width="14.5703125" style="199" customWidth="1"/>
    <col min="15621" max="15621" width="9" style="199" customWidth="1"/>
    <col min="15622" max="15872" width="9.140625" style="199"/>
    <col min="15873" max="15873" width="5.85546875" style="199" customWidth="1"/>
    <col min="15874" max="15874" width="45.42578125" style="199" customWidth="1"/>
    <col min="15875" max="15876" width="14.5703125" style="199" customWidth="1"/>
    <col min="15877" max="15877" width="9" style="199" customWidth="1"/>
    <col min="15878" max="16128" width="9.140625" style="199"/>
    <col min="16129" max="16129" width="5.85546875" style="199" customWidth="1"/>
    <col min="16130" max="16130" width="45.42578125" style="199" customWidth="1"/>
    <col min="16131" max="16132" width="14.5703125" style="199" customWidth="1"/>
    <col min="16133" max="16133" width="9" style="199" customWidth="1"/>
    <col min="16134" max="16384" width="9.140625" style="199"/>
  </cols>
  <sheetData>
    <row r="1" spans="1:5" ht="76.5" customHeight="1">
      <c r="A1" s="225"/>
      <c r="B1" s="1893" t="s">
        <v>1074</v>
      </c>
      <c r="C1" s="1893"/>
      <c r="D1" s="1893"/>
    </row>
    <row r="2" spans="1:5" ht="63" customHeight="1" thickBot="1">
      <c r="A2" s="1894" t="s">
        <v>157</v>
      </c>
      <c r="B2" s="1894"/>
      <c r="C2" s="1894"/>
      <c r="D2" s="1894"/>
    </row>
    <row r="3" spans="1:5" ht="22.5" customHeight="1" thickBot="1">
      <c r="A3" s="223" t="s">
        <v>39</v>
      </c>
      <c r="B3" s="224" t="s">
        <v>156</v>
      </c>
      <c r="C3" s="223" t="s">
        <v>155</v>
      </c>
      <c r="D3" s="222" t="s">
        <v>154</v>
      </c>
    </row>
    <row r="4" spans="1:5" ht="15" customHeight="1" thickBot="1">
      <c r="A4" s="1889" t="s">
        <v>153</v>
      </c>
      <c r="B4" s="1890"/>
      <c r="C4" s="221">
        <f>SUM(C5:C6)</f>
        <v>3050</v>
      </c>
      <c r="D4" s="220">
        <f>SUM(D5:D6)</f>
        <v>3050</v>
      </c>
    </row>
    <row r="5" spans="1:5" ht="26.25" customHeight="1">
      <c r="A5" s="292">
        <v>1</v>
      </c>
      <c r="B5" s="219" t="s">
        <v>186</v>
      </c>
      <c r="C5" s="260">
        <v>50</v>
      </c>
      <c r="D5" s="261">
        <v>50</v>
      </c>
      <c r="E5" s="205"/>
    </row>
    <row r="6" spans="1:5" ht="15" customHeight="1" thickBot="1">
      <c r="A6" s="293">
        <v>2</v>
      </c>
      <c r="B6" s="215" t="s">
        <v>152</v>
      </c>
      <c r="C6" s="262">
        <v>3000</v>
      </c>
      <c r="D6" s="263">
        <v>3000</v>
      </c>
      <c r="E6" s="205"/>
    </row>
    <row r="7" spans="1:5" ht="15" customHeight="1" thickBot="1">
      <c r="A7" s="1889" t="s">
        <v>151</v>
      </c>
      <c r="B7" s="1890"/>
      <c r="C7" s="264">
        <f>SUM(C8:C14)</f>
        <v>310832</v>
      </c>
      <c r="D7" s="265">
        <f>SUM(D8:D14)</f>
        <v>310832</v>
      </c>
      <c r="E7" s="205"/>
    </row>
    <row r="8" spans="1:5" ht="27" customHeight="1">
      <c r="A8" s="294">
        <v>1</v>
      </c>
      <c r="B8" s="257" t="s">
        <v>181</v>
      </c>
      <c r="C8" s="266">
        <v>51000</v>
      </c>
      <c r="D8" s="267">
        <v>51000</v>
      </c>
      <c r="E8" s="205"/>
    </row>
    <row r="9" spans="1:5" ht="27" customHeight="1">
      <c r="A9" s="295">
        <v>2</v>
      </c>
      <c r="B9" s="258" t="s">
        <v>182</v>
      </c>
      <c r="C9" s="268">
        <v>20267</v>
      </c>
      <c r="D9" s="269">
        <v>20267</v>
      </c>
      <c r="E9" s="205"/>
    </row>
    <row r="10" spans="1:5" ht="27" customHeight="1">
      <c r="A10" s="295">
        <v>3</v>
      </c>
      <c r="B10" s="258" t="s">
        <v>183</v>
      </c>
      <c r="C10" s="268">
        <v>6000</v>
      </c>
      <c r="D10" s="269">
        <v>6000</v>
      </c>
      <c r="E10" s="205"/>
    </row>
    <row r="11" spans="1:5" ht="27" customHeight="1">
      <c r="A11" s="295">
        <v>4</v>
      </c>
      <c r="B11" s="258" t="s">
        <v>184</v>
      </c>
      <c r="C11" s="268">
        <v>7500</v>
      </c>
      <c r="D11" s="269">
        <v>7500</v>
      </c>
      <c r="E11" s="205"/>
    </row>
    <row r="12" spans="1:5" ht="27" customHeight="1">
      <c r="A12" s="295">
        <v>5</v>
      </c>
      <c r="B12" s="258" t="s">
        <v>185</v>
      </c>
      <c r="C12" s="268">
        <v>44700</v>
      </c>
      <c r="D12" s="269">
        <v>44700</v>
      </c>
      <c r="E12" s="205"/>
    </row>
    <row r="13" spans="1:5" ht="27" customHeight="1">
      <c r="A13" s="295">
        <v>6</v>
      </c>
      <c r="B13" s="258" t="s">
        <v>180</v>
      </c>
      <c r="C13" s="268">
        <v>22500</v>
      </c>
      <c r="D13" s="269">
        <v>22500</v>
      </c>
      <c r="E13" s="205"/>
    </row>
    <row r="14" spans="1:5" s="211" customFormat="1" ht="27.75" customHeight="1" thickBot="1">
      <c r="A14" s="293">
        <v>7</v>
      </c>
      <c r="B14" s="259" t="s">
        <v>179</v>
      </c>
      <c r="C14" s="262">
        <v>158865</v>
      </c>
      <c r="D14" s="263">
        <v>158865</v>
      </c>
      <c r="E14" s="218"/>
    </row>
    <row r="15" spans="1:5" ht="15" customHeight="1" thickBot="1">
      <c r="A15" s="1889" t="s">
        <v>150</v>
      </c>
      <c r="B15" s="1890"/>
      <c r="C15" s="264">
        <f>SUM(C16:C21)</f>
        <v>77080</v>
      </c>
      <c r="D15" s="265">
        <f>SUM(D16:D21)</f>
        <v>77080</v>
      </c>
      <c r="E15" s="205"/>
    </row>
    <row r="16" spans="1:5" ht="15" customHeight="1">
      <c r="A16" s="294">
        <v>1</v>
      </c>
      <c r="B16" s="217" t="s">
        <v>149</v>
      </c>
      <c r="C16" s="270">
        <v>30000</v>
      </c>
      <c r="D16" s="271">
        <v>30000</v>
      </c>
      <c r="E16" s="205"/>
    </row>
    <row r="17" spans="1:5" ht="15" customHeight="1">
      <c r="A17" s="295">
        <v>2</v>
      </c>
      <c r="B17" s="216" t="s">
        <v>148</v>
      </c>
      <c r="C17" s="268">
        <v>20200</v>
      </c>
      <c r="D17" s="269">
        <v>20200</v>
      </c>
      <c r="E17" s="205"/>
    </row>
    <row r="18" spans="1:5" ht="15" customHeight="1">
      <c r="A18" s="295">
        <v>3</v>
      </c>
      <c r="B18" s="216" t="s">
        <v>147</v>
      </c>
      <c r="C18" s="268">
        <v>4080</v>
      </c>
      <c r="D18" s="269">
        <v>4080</v>
      </c>
      <c r="E18" s="205"/>
    </row>
    <row r="19" spans="1:5" ht="15" customHeight="1">
      <c r="A19" s="295">
        <v>4</v>
      </c>
      <c r="B19" s="216" t="s">
        <v>146</v>
      </c>
      <c r="C19" s="268">
        <v>2000</v>
      </c>
      <c r="D19" s="269">
        <v>2000</v>
      </c>
    </row>
    <row r="20" spans="1:5" ht="15" customHeight="1">
      <c r="A20" s="295">
        <v>5</v>
      </c>
      <c r="B20" s="215" t="s">
        <v>145</v>
      </c>
      <c r="C20" s="268">
        <v>12300</v>
      </c>
      <c r="D20" s="269">
        <v>12300</v>
      </c>
      <c r="E20" s="205"/>
    </row>
    <row r="21" spans="1:5" ht="15" customHeight="1" thickBot="1">
      <c r="A21" s="295">
        <v>6</v>
      </c>
      <c r="B21" s="215" t="s">
        <v>144</v>
      </c>
      <c r="C21" s="268">
        <v>8500</v>
      </c>
      <c r="D21" s="269">
        <v>8500</v>
      </c>
      <c r="E21" s="205"/>
    </row>
    <row r="22" spans="1:5" ht="15" customHeight="1" thickBot="1">
      <c r="A22" s="1889" t="s">
        <v>143</v>
      </c>
      <c r="B22" s="1890"/>
      <c r="C22" s="264">
        <f>SUM(C23)</f>
        <v>2800000</v>
      </c>
      <c r="D22" s="265">
        <f>SUM(D23)</f>
        <v>2800000</v>
      </c>
      <c r="E22" s="205"/>
    </row>
    <row r="23" spans="1:5" ht="15" customHeight="1" thickBot="1">
      <c r="A23" s="214">
        <v>1</v>
      </c>
      <c r="B23" s="213" t="s">
        <v>142</v>
      </c>
      <c r="C23" s="260">
        <v>2800000</v>
      </c>
      <c r="D23" s="261">
        <v>2800000</v>
      </c>
      <c r="E23" s="218"/>
    </row>
    <row r="24" spans="1:5" ht="15" customHeight="1" thickBot="1">
      <c r="A24" s="1889" t="s">
        <v>141</v>
      </c>
      <c r="B24" s="1890"/>
      <c r="C24" s="264">
        <f>SUM(C25:C28)</f>
        <v>352050</v>
      </c>
      <c r="D24" s="265">
        <f>SUM(D25:D28)</f>
        <v>352050</v>
      </c>
      <c r="E24" s="205"/>
    </row>
    <row r="25" spans="1:5" ht="15" customHeight="1">
      <c r="A25" s="294">
        <v>1</v>
      </c>
      <c r="B25" s="208" t="s">
        <v>140</v>
      </c>
      <c r="C25" s="266">
        <v>71000</v>
      </c>
      <c r="D25" s="267">
        <v>71000</v>
      </c>
      <c r="E25" s="205"/>
    </row>
    <row r="26" spans="1:5" s="211" customFormat="1" ht="15" customHeight="1">
      <c r="A26" s="295">
        <v>2</v>
      </c>
      <c r="B26" s="210" t="s">
        <v>139</v>
      </c>
      <c r="C26" s="268">
        <v>36350</v>
      </c>
      <c r="D26" s="269">
        <v>36350</v>
      </c>
      <c r="E26" s="212"/>
    </row>
    <row r="27" spans="1:5" ht="15" customHeight="1">
      <c r="A27" s="295">
        <v>3</v>
      </c>
      <c r="B27" s="210" t="s">
        <v>138</v>
      </c>
      <c r="C27" s="268">
        <v>188000</v>
      </c>
      <c r="D27" s="269">
        <v>188000</v>
      </c>
      <c r="E27" s="205"/>
    </row>
    <row r="28" spans="1:5" ht="15" customHeight="1" thickBot="1">
      <c r="A28" s="293">
        <v>4</v>
      </c>
      <c r="B28" s="209" t="s">
        <v>137</v>
      </c>
      <c r="C28" s="262">
        <v>56700</v>
      </c>
      <c r="D28" s="263">
        <v>56700</v>
      </c>
      <c r="E28" s="205"/>
    </row>
    <row r="29" spans="1:5" ht="15" customHeight="1" thickBot="1">
      <c r="A29" s="1889" t="s">
        <v>136</v>
      </c>
      <c r="B29" s="1890"/>
      <c r="C29" s="264">
        <f>SUM(C30:C30)</f>
        <v>183200</v>
      </c>
      <c r="D29" s="265">
        <f>SUM(D30:D30)</f>
        <v>183200</v>
      </c>
      <c r="E29" s="205"/>
    </row>
    <row r="30" spans="1:5" ht="29.25" customHeight="1" thickBot="1">
      <c r="A30" s="296">
        <v>1</v>
      </c>
      <c r="B30" s="256" t="s">
        <v>1056</v>
      </c>
      <c r="C30" s="260">
        <v>183200</v>
      </c>
      <c r="D30" s="261">
        <v>183200</v>
      </c>
      <c r="E30" s="205"/>
    </row>
    <row r="31" spans="1:5" ht="24" customHeight="1" thickBot="1">
      <c r="A31" s="1891" t="s">
        <v>135</v>
      </c>
      <c r="B31" s="1892"/>
      <c r="C31" s="207">
        <f>SUM(C4,C7,C15,C22,C24,C29)</f>
        <v>3726212</v>
      </c>
      <c r="D31" s="206">
        <f>SUM(D4,D7,D15,D22,D24,D29)</f>
        <v>3726212</v>
      </c>
      <c r="E31" s="205"/>
    </row>
    <row r="32" spans="1:5" ht="12.75" customHeight="1">
      <c r="A32" s="204"/>
      <c r="B32" s="204"/>
      <c r="C32" s="203"/>
      <c r="D32" s="203"/>
    </row>
    <row r="34" spans="1:4">
      <c r="A34" s="202"/>
      <c r="B34" s="201"/>
      <c r="C34" s="200"/>
      <c r="D34" s="200"/>
    </row>
  </sheetData>
  <mergeCells count="9">
    <mergeCell ref="A24:B24"/>
    <mergeCell ref="A29:B29"/>
    <mergeCell ref="A31:B31"/>
    <mergeCell ref="B1:D1"/>
    <mergeCell ref="A2:D2"/>
    <mergeCell ref="A4:B4"/>
    <mergeCell ref="A7:B7"/>
    <mergeCell ref="A15:B15"/>
    <mergeCell ref="A22:B22"/>
  </mergeCells>
  <printOptions horizontalCentered="1"/>
  <pageMargins left="0.78740157480314965" right="0.59055118110236227" top="0.59055118110236227" bottom="0.98425196850393704" header="0.51181102362204722" footer="0.51181102362204722"/>
  <pageSetup paperSize="9" scale="95" orientation="portrait" r:id="rId1"/>
  <headerFooter alignWithMargins="0"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HR823"/>
  <sheetViews>
    <sheetView view="pageBreakPreview" zoomScaleNormal="100" zoomScaleSheetLayoutView="100" workbookViewId="0">
      <pane ySplit="8" topLeftCell="A792" activePane="bottomLeft" state="frozen"/>
      <selection activeCell="F1798" sqref="F1798"/>
      <selection pane="bottomLeft" activeCell="M3" sqref="M3"/>
    </sheetView>
  </sheetViews>
  <sheetFormatPr defaultRowHeight="12.75"/>
  <cols>
    <col min="1" max="1" width="3.5703125" style="1" customWidth="1"/>
    <col min="2" max="2" width="50.7109375" style="1" customWidth="1"/>
    <col min="3" max="4" width="7.7109375" style="6" customWidth="1"/>
    <col min="5" max="5" width="16.85546875" style="1" bestFit="1" customWidth="1"/>
    <col min="6" max="10" width="12.7109375" style="1" customWidth="1"/>
    <col min="11" max="12" width="11.140625" style="1" bestFit="1" customWidth="1"/>
    <col min="13" max="242" width="9.140625" style="1"/>
    <col min="243" max="243" width="4.28515625" style="1" bestFit="1" customWidth="1"/>
    <col min="244" max="244" width="6.85546875" style="1" bestFit="1" customWidth="1"/>
    <col min="245" max="245" width="11" style="1" customWidth="1"/>
    <col min="246" max="246" width="11.140625" style="1" bestFit="1" customWidth="1"/>
    <col min="247" max="247" width="10.85546875" style="1" customWidth="1"/>
    <col min="248" max="248" width="11.5703125" style="1" customWidth="1"/>
    <col min="249" max="249" width="11.140625" style="1" bestFit="1" customWidth="1"/>
    <col min="250" max="250" width="11" style="1" customWidth="1"/>
    <col min="251" max="251" width="10.42578125" style="1" customWidth="1"/>
    <col min="252" max="252" width="11.28515625" style="1" customWidth="1"/>
    <col min="253" max="254" width="9.140625" style="1" bestFit="1" customWidth="1"/>
    <col min="255" max="256" width="11.140625" style="1" bestFit="1" customWidth="1"/>
    <col min="257" max="257" width="11.5703125" style="1" bestFit="1" customWidth="1"/>
    <col min="258" max="258" width="9.140625" style="1" bestFit="1" customWidth="1"/>
    <col min="259" max="259" width="10.28515625" style="1" customWidth="1"/>
    <col min="260" max="498" width="9.140625" style="1"/>
    <col min="499" max="499" width="4.28515625" style="1" bestFit="1" customWidth="1"/>
    <col min="500" max="500" width="6.85546875" style="1" bestFit="1" customWidth="1"/>
    <col min="501" max="501" width="11" style="1" customWidth="1"/>
    <col min="502" max="502" width="11.140625" style="1" bestFit="1" customWidth="1"/>
    <col min="503" max="503" width="10.85546875" style="1" customWidth="1"/>
    <col min="504" max="504" width="11.5703125" style="1" customWidth="1"/>
    <col min="505" max="505" width="11.140625" style="1" bestFit="1" customWidth="1"/>
    <col min="506" max="506" width="11" style="1" customWidth="1"/>
    <col min="507" max="507" width="10.42578125" style="1" customWidth="1"/>
    <col min="508" max="508" width="11.28515625" style="1" customWidth="1"/>
    <col min="509" max="510" width="9.140625" style="1" bestFit="1" customWidth="1"/>
    <col min="511" max="512" width="11.140625" style="1" bestFit="1" customWidth="1"/>
    <col min="513" max="513" width="11.5703125" style="1" bestFit="1" customWidth="1"/>
    <col min="514" max="514" width="9.140625" style="1" bestFit="1" customWidth="1"/>
    <col min="515" max="515" width="10.28515625" style="1" customWidth="1"/>
    <col min="516" max="754" width="9.140625" style="1"/>
    <col min="755" max="755" width="4.28515625" style="1" bestFit="1" customWidth="1"/>
    <col min="756" max="756" width="6.85546875" style="1" bestFit="1" customWidth="1"/>
    <col min="757" max="757" width="11" style="1" customWidth="1"/>
    <col min="758" max="758" width="11.140625" style="1" bestFit="1" customWidth="1"/>
    <col min="759" max="759" width="10.85546875" style="1" customWidth="1"/>
    <col min="760" max="760" width="11.5703125" style="1" customWidth="1"/>
    <col min="761" max="761" width="11.140625" style="1" bestFit="1" customWidth="1"/>
    <col min="762" max="762" width="11" style="1" customWidth="1"/>
    <col min="763" max="763" width="10.42578125" style="1" customWidth="1"/>
    <col min="764" max="764" width="11.28515625" style="1" customWidth="1"/>
    <col min="765" max="766" width="9.140625" style="1" bestFit="1" customWidth="1"/>
    <col min="767" max="768" width="11.140625" style="1" bestFit="1" customWidth="1"/>
    <col min="769" max="769" width="11.5703125" style="1" bestFit="1" customWidth="1"/>
    <col min="770" max="770" width="9.140625" style="1" bestFit="1" customWidth="1"/>
    <col min="771" max="771" width="10.28515625" style="1" customWidth="1"/>
    <col min="772" max="1010" width="9.140625" style="1"/>
    <col min="1011" max="1011" width="4.28515625" style="1" bestFit="1" customWidth="1"/>
    <col min="1012" max="1012" width="6.85546875" style="1" bestFit="1" customWidth="1"/>
    <col min="1013" max="1013" width="11" style="1" customWidth="1"/>
    <col min="1014" max="1014" width="11.140625" style="1" bestFit="1" customWidth="1"/>
    <col min="1015" max="1015" width="10.85546875" style="1" customWidth="1"/>
    <col min="1016" max="1016" width="11.5703125" style="1" customWidth="1"/>
    <col min="1017" max="1017" width="11.140625" style="1" bestFit="1" customWidth="1"/>
    <col min="1018" max="1018" width="11" style="1" customWidth="1"/>
    <col min="1019" max="1019" width="10.42578125" style="1" customWidth="1"/>
    <col min="1020" max="1020" width="11.28515625" style="1" customWidth="1"/>
    <col min="1021" max="1022" width="9.140625" style="1" bestFit="1" customWidth="1"/>
    <col min="1023" max="1024" width="11.140625" style="1" bestFit="1" customWidth="1"/>
    <col min="1025" max="1025" width="11.5703125" style="1" bestFit="1" customWidth="1"/>
    <col min="1026" max="1026" width="9.140625" style="1" bestFit="1" customWidth="1"/>
    <col min="1027" max="1027" width="10.28515625" style="1" customWidth="1"/>
    <col min="1028" max="1266" width="9.140625" style="1"/>
    <col min="1267" max="1267" width="4.28515625" style="1" bestFit="1" customWidth="1"/>
    <col min="1268" max="1268" width="6.85546875" style="1" bestFit="1" customWidth="1"/>
    <col min="1269" max="1269" width="11" style="1" customWidth="1"/>
    <col min="1270" max="1270" width="11.140625" style="1" bestFit="1" customWidth="1"/>
    <col min="1271" max="1271" width="10.85546875" style="1" customWidth="1"/>
    <col min="1272" max="1272" width="11.5703125" style="1" customWidth="1"/>
    <col min="1273" max="1273" width="11.140625" style="1" bestFit="1" customWidth="1"/>
    <col min="1274" max="1274" width="11" style="1" customWidth="1"/>
    <col min="1275" max="1275" width="10.42578125" style="1" customWidth="1"/>
    <col min="1276" max="1276" width="11.28515625" style="1" customWidth="1"/>
    <col min="1277" max="1278" width="9.140625" style="1" bestFit="1" customWidth="1"/>
    <col min="1279" max="1280" width="11.140625" style="1" bestFit="1" customWidth="1"/>
    <col min="1281" max="1281" width="11.5703125" style="1" bestFit="1" customWidth="1"/>
    <col min="1282" max="1282" width="9.140625" style="1" bestFit="1" customWidth="1"/>
    <col min="1283" max="1283" width="10.28515625" style="1" customWidth="1"/>
    <col min="1284" max="1522" width="9.140625" style="1"/>
    <col min="1523" max="1523" width="4.28515625" style="1" bestFit="1" customWidth="1"/>
    <col min="1524" max="1524" width="6.85546875" style="1" bestFit="1" customWidth="1"/>
    <col min="1525" max="1525" width="11" style="1" customWidth="1"/>
    <col min="1526" max="1526" width="11.140625" style="1" bestFit="1" customWidth="1"/>
    <col min="1527" max="1527" width="10.85546875" style="1" customWidth="1"/>
    <col min="1528" max="1528" width="11.5703125" style="1" customWidth="1"/>
    <col min="1529" max="1529" width="11.140625" style="1" bestFit="1" customWidth="1"/>
    <col min="1530" max="1530" width="11" style="1" customWidth="1"/>
    <col min="1531" max="1531" width="10.42578125" style="1" customWidth="1"/>
    <col min="1532" max="1532" width="11.28515625" style="1" customWidth="1"/>
    <col min="1533" max="1534" width="9.140625" style="1" bestFit="1" customWidth="1"/>
    <col min="1535" max="1536" width="11.140625" style="1" bestFit="1" customWidth="1"/>
    <col min="1537" max="1537" width="11.5703125" style="1" bestFit="1" customWidth="1"/>
    <col min="1538" max="1538" width="9.140625" style="1" bestFit="1" customWidth="1"/>
    <col min="1539" max="1539" width="10.28515625" style="1" customWidth="1"/>
    <col min="1540" max="1778" width="9.140625" style="1"/>
    <col min="1779" max="1779" width="4.28515625" style="1" bestFit="1" customWidth="1"/>
    <col min="1780" max="1780" width="6.85546875" style="1" bestFit="1" customWidth="1"/>
    <col min="1781" max="1781" width="11" style="1" customWidth="1"/>
    <col min="1782" max="1782" width="11.140625" style="1" bestFit="1" customWidth="1"/>
    <col min="1783" max="1783" width="10.85546875" style="1" customWidth="1"/>
    <col min="1784" max="1784" width="11.5703125" style="1" customWidth="1"/>
    <col min="1785" max="1785" width="11.140625" style="1" bestFit="1" customWidth="1"/>
    <col min="1786" max="1786" width="11" style="1" customWidth="1"/>
    <col min="1787" max="1787" width="10.42578125" style="1" customWidth="1"/>
    <col min="1788" max="1788" width="11.28515625" style="1" customWidth="1"/>
    <col min="1789" max="1790" width="9.140625" style="1" bestFit="1" customWidth="1"/>
    <col min="1791" max="1792" width="11.140625" style="1" bestFit="1" customWidth="1"/>
    <col min="1793" max="1793" width="11.5703125" style="1" bestFit="1" customWidth="1"/>
    <col min="1794" max="1794" width="9.140625" style="1" bestFit="1" customWidth="1"/>
    <col min="1795" max="1795" width="10.28515625" style="1" customWidth="1"/>
    <col min="1796" max="2034" width="9.140625" style="1"/>
    <col min="2035" max="2035" width="4.28515625" style="1" bestFit="1" customWidth="1"/>
    <col min="2036" max="2036" width="6.85546875" style="1" bestFit="1" customWidth="1"/>
    <col min="2037" max="2037" width="11" style="1" customWidth="1"/>
    <col min="2038" max="2038" width="11.140625" style="1" bestFit="1" customWidth="1"/>
    <col min="2039" max="2039" width="10.85546875" style="1" customWidth="1"/>
    <col min="2040" max="2040" width="11.5703125" style="1" customWidth="1"/>
    <col min="2041" max="2041" width="11.140625" style="1" bestFit="1" customWidth="1"/>
    <col min="2042" max="2042" width="11" style="1" customWidth="1"/>
    <col min="2043" max="2043" width="10.42578125" style="1" customWidth="1"/>
    <col min="2044" max="2044" width="11.28515625" style="1" customWidth="1"/>
    <col min="2045" max="2046" width="9.140625" style="1" bestFit="1" customWidth="1"/>
    <col min="2047" max="2048" width="11.140625" style="1" bestFit="1" customWidth="1"/>
    <col min="2049" max="2049" width="11.5703125" style="1" bestFit="1" customWidth="1"/>
    <col min="2050" max="2050" width="9.140625" style="1" bestFit="1" customWidth="1"/>
    <col min="2051" max="2051" width="10.28515625" style="1" customWidth="1"/>
    <col min="2052" max="2290" width="9.140625" style="1"/>
    <col min="2291" max="2291" width="4.28515625" style="1" bestFit="1" customWidth="1"/>
    <col min="2292" max="2292" width="6.85546875" style="1" bestFit="1" customWidth="1"/>
    <col min="2293" max="2293" width="11" style="1" customWidth="1"/>
    <col min="2294" max="2294" width="11.140625" style="1" bestFit="1" customWidth="1"/>
    <col min="2295" max="2295" width="10.85546875" style="1" customWidth="1"/>
    <col min="2296" max="2296" width="11.5703125" style="1" customWidth="1"/>
    <col min="2297" max="2297" width="11.140625" style="1" bestFit="1" customWidth="1"/>
    <col min="2298" max="2298" width="11" style="1" customWidth="1"/>
    <col min="2299" max="2299" width="10.42578125" style="1" customWidth="1"/>
    <col min="2300" max="2300" width="11.28515625" style="1" customWidth="1"/>
    <col min="2301" max="2302" width="9.140625" style="1" bestFit="1" customWidth="1"/>
    <col min="2303" max="2304" width="11.140625" style="1" bestFit="1" customWidth="1"/>
    <col min="2305" max="2305" width="11.5703125" style="1" bestFit="1" customWidth="1"/>
    <col min="2306" max="2306" width="9.140625" style="1" bestFit="1" customWidth="1"/>
    <col min="2307" max="2307" width="10.28515625" style="1" customWidth="1"/>
    <col min="2308" max="2546" width="9.140625" style="1"/>
    <col min="2547" max="2547" width="4.28515625" style="1" bestFit="1" customWidth="1"/>
    <col min="2548" max="2548" width="6.85546875" style="1" bestFit="1" customWidth="1"/>
    <col min="2549" max="2549" width="11" style="1" customWidth="1"/>
    <col min="2550" max="2550" width="11.140625" style="1" bestFit="1" customWidth="1"/>
    <col min="2551" max="2551" width="10.85546875" style="1" customWidth="1"/>
    <col min="2552" max="2552" width="11.5703125" style="1" customWidth="1"/>
    <col min="2553" max="2553" width="11.140625" style="1" bestFit="1" customWidth="1"/>
    <col min="2554" max="2554" width="11" style="1" customWidth="1"/>
    <col min="2555" max="2555" width="10.42578125" style="1" customWidth="1"/>
    <col min="2556" max="2556" width="11.28515625" style="1" customWidth="1"/>
    <col min="2557" max="2558" width="9.140625" style="1" bestFit="1" customWidth="1"/>
    <col min="2559" max="2560" width="11.140625" style="1" bestFit="1" customWidth="1"/>
    <col min="2561" max="2561" width="11.5703125" style="1" bestFit="1" customWidth="1"/>
    <col min="2562" max="2562" width="9.140625" style="1" bestFit="1" customWidth="1"/>
    <col min="2563" max="2563" width="10.28515625" style="1" customWidth="1"/>
    <col min="2564" max="2802" width="9.140625" style="1"/>
    <col min="2803" max="2803" width="4.28515625" style="1" bestFit="1" customWidth="1"/>
    <col min="2804" max="2804" width="6.85546875" style="1" bestFit="1" customWidth="1"/>
    <col min="2805" max="2805" width="11" style="1" customWidth="1"/>
    <col min="2806" max="2806" width="11.140625" style="1" bestFit="1" customWidth="1"/>
    <col min="2807" max="2807" width="10.85546875" style="1" customWidth="1"/>
    <col min="2808" max="2808" width="11.5703125" style="1" customWidth="1"/>
    <col min="2809" max="2809" width="11.140625" style="1" bestFit="1" customWidth="1"/>
    <col min="2810" max="2810" width="11" style="1" customWidth="1"/>
    <col min="2811" max="2811" width="10.42578125" style="1" customWidth="1"/>
    <col min="2812" max="2812" width="11.28515625" style="1" customWidth="1"/>
    <col min="2813" max="2814" width="9.140625" style="1" bestFit="1" customWidth="1"/>
    <col min="2815" max="2816" width="11.140625" style="1" bestFit="1" customWidth="1"/>
    <col min="2817" max="2817" width="11.5703125" style="1" bestFit="1" customWidth="1"/>
    <col min="2818" max="2818" width="9.140625" style="1" bestFit="1" customWidth="1"/>
    <col min="2819" max="2819" width="10.28515625" style="1" customWidth="1"/>
    <col min="2820" max="3058" width="9.140625" style="1"/>
    <col min="3059" max="3059" width="4.28515625" style="1" bestFit="1" customWidth="1"/>
    <col min="3060" max="3060" width="6.85546875" style="1" bestFit="1" customWidth="1"/>
    <col min="3061" max="3061" width="11" style="1" customWidth="1"/>
    <col min="3062" max="3062" width="11.140625" style="1" bestFit="1" customWidth="1"/>
    <col min="3063" max="3063" width="10.85546875" style="1" customWidth="1"/>
    <col min="3064" max="3064" width="11.5703125" style="1" customWidth="1"/>
    <col min="3065" max="3065" width="11.140625" style="1" bestFit="1" customWidth="1"/>
    <col min="3066" max="3066" width="11" style="1" customWidth="1"/>
    <col min="3067" max="3067" width="10.42578125" style="1" customWidth="1"/>
    <col min="3068" max="3068" width="11.28515625" style="1" customWidth="1"/>
    <col min="3069" max="3070" width="9.140625" style="1" bestFit="1" customWidth="1"/>
    <col min="3071" max="3072" width="11.140625" style="1" bestFit="1" customWidth="1"/>
    <col min="3073" max="3073" width="11.5703125" style="1" bestFit="1" customWidth="1"/>
    <col min="3074" max="3074" width="9.140625" style="1" bestFit="1" customWidth="1"/>
    <col min="3075" max="3075" width="10.28515625" style="1" customWidth="1"/>
    <col min="3076" max="3314" width="9.140625" style="1"/>
    <col min="3315" max="3315" width="4.28515625" style="1" bestFit="1" customWidth="1"/>
    <col min="3316" max="3316" width="6.85546875" style="1" bestFit="1" customWidth="1"/>
    <col min="3317" max="3317" width="11" style="1" customWidth="1"/>
    <col min="3318" max="3318" width="11.140625" style="1" bestFit="1" customWidth="1"/>
    <col min="3319" max="3319" width="10.85546875" style="1" customWidth="1"/>
    <col min="3320" max="3320" width="11.5703125" style="1" customWidth="1"/>
    <col min="3321" max="3321" width="11.140625" style="1" bestFit="1" customWidth="1"/>
    <col min="3322" max="3322" width="11" style="1" customWidth="1"/>
    <col min="3323" max="3323" width="10.42578125" style="1" customWidth="1"/>
    <col min="3324" max="3324" width="11.28515625" style="1" customWidth="1"/>
    <col min="3325" max="3326" width="9.140625" style="1" bestFit="1" customWidth="1"/>
    <col min="3327" max="3328" width="11.140625" style="1" bestFit="1" customWidth="1"/>
    <col min="3329" max="3329" width="11.5703125" style="1" bestFit="1" customWidth="1"/>
    <col min="3330" max="3330" width="9.140625" style="1" bestFit="1" customWidth="1"/>
    <col min="3331" max="3331" width="10.28515625" style="1" customWidth="1"/>
    <col min="3332" max="3570" width="9.140625" style="1"/>
    <col min="3571" max="3571" width="4.28515625" style="1" bestFit="1" customWidth="1"/>
    <col min="3572" max="3572" width="6.85546875" style="1" bestFit="1" customWidth="1"/>
    <col min="3573" max="3573" width="11" style="1" customWidth="1"/>
    <col min="3574" max="3574" width="11.140625" style="1" bestFit="1" customWidth="1"/>
    <col min="3575" max="3575" width="10.85546875" style="1" customWidth="1"/>
    <col min="3576" max="3576" width="11.5703125" style="1" customWidth="1"/>
    <col min="3577" max="3577" width="11.140625" style="1" bestFit="1" customWidth="1"/>
    <col min="3578" max="3578" width="11" style="1" customWidth="1"/>
    <col min="3579" max="3579" width="10.42578125" style="1" customWidth="1"/>
    <col min="3580" max="3580" width="11.28515625" style="1" customWidth="1"/>
    <col min="3581" max="3582" width="9.140625" style="1" bestFit="1" customWidth="1"/>
    <col min="3583" max="3584" width="11.140625" style="1" bestFit="1" customWidth="1"/>
    <col min="3585" max="3585" width="11.5703125" style="1" bestFit="1" customWidth="1"/>
    <col min="3586" max="3586" width="9.140625" style="1" bestFit="1" customWidth="1"/>
    <col min="3587" max="3587" width="10.28515625" style="1" customWidth="1"/>
    <col min="3588" max="3826" width="9.140625" style="1"/>
    <col min="3827" max="3827" width="4.28515625" style="1" bestFit="1" customWidth="1"/>
    <col min="3828" max="3828" width="6.85546875" style="1" bestFit="1" customWidth="1"/>
    <col min="3829" max="3829" width="11" style="1" customWidth="1"/>
    <col min="3830" max="3830" width="11.140625" style="1" bestFit="1" customWidth="1"/>
    <col min="3831" max="3831" width="10.85546875" style="1" customWidth="1"/>
    <col min="3832" max="3832" width="11.5703125" style="1" customWidth="1"/>
    <col min="3833" max="3833" width="11.140625" style="1" bestFit="1" customWidth="1"/>
    <col min="3834" max="3834" width="11" style="1" customWidth="1"/>
    <col min="3835" max="3835" width="10.42578125" style="1" customWidth="1"/>
    <col min="3836" max="3836" width="11.28515625" style="1" customWidth="1"/>
    <col min="3837" max="3838" width="9.140625" style="1" bestFit="1" customWidth="1"/>
    <col min="3839" max="3840" width="11.140625" style="1" bestFit="1" customWidth="1"/>
    <col min="3841" max="3841" width="11.5703125" style="1" bestFit="1" customWidth="1"/>
    <col min="3842" max="3842" width="9.140625" style="1" bestFit="1" customWidth="1"/>
    <col min="3843" max="3843" width="10.28515625" style="1" customWidth="1"/>
    <col min="3844" max="4082" width="9.140625" style="1"/>
    <col min="4083" max="4083" width="4.28515625" style="1" bestFit="1" customWidth="1"/>
    <col min="4084" max="4084" width="6.85546875" style="1" bestFit="1" customWidth="1"/>
    <col min="4085" max="4085" width="11" style="1" customWidth="1"/>
    <col min="4086" max="4086" width="11.140625" style="1" bestFit="1" customWidth="1"/>
    <col min="4087" max="4087" width="10.85546875" style="1" customWidth="1"/>
    <col min="4088" max="4088" width="11.5703125" style="1" customWidth="1"/>
    <col min="4089" max="4089" width="11.140625" style="1" bestFit="1" customWidth="1"/>
    <col min="4090" max="4090" width="11" style="1" customWidth="1"/>
    <col min="4091" max="4091" width="10.42578125" style="1" customWidth="1"/>
    <col min="4092" max="4092" width="11.28515625" style="1" customWidth="1"/>
    <col min="4093" max="4094" width="9.140625" style="1" bestFit="1" customWidth="1"/>
    <col min="4095" max="4096" width="11.140625" style="1" bestFit="1" customWidth="1"/>
    <col min="4097" max="4097" width="11.5703125" style="1" bestFit="1" customWidth="1"/>
    <col min="4098" max="4098" width="9.140625" style="1" bestFit="1" customWidth="1"/>
    <col min="4099" max="4099" width="10.28515625" style="1" customWidth="1"/>
    <col min="4100" max="4338" width="9.140625" style="1"/>
    <col min="4339" max="4339" width="4.28515625" style="1" bestFit="1" customWidth="1"/>
    <col min="4340" max="4340" width="6.85546875" style="1" bestFit="1" customWidth="1"/>
    <col min="4341" max="4341" width="11" style="1" customWidth="1"/>
    <col min="4342" max="4342" width="11.140625" style="1" bestFit="1" customWidth="1"/>
    <col min="4343" max="4343" width="10.85546875" style="1" customWidth="1"/>
    <col min="4344" max="4344" width="11.5703125" style="1" customWidth="1"/>
    <col min="4345" max="4345" width="11.140625" style="1" bestFit="1" customWidth="1"/>
    <col min="4346" max="4346" width="11" style="1" customWidth="1"/>
    <col min="4347" max="4347" width="10.42578125" style="1" customWidth="1"/>
    <col min="4348" max="4348" width="11.28515625" style="1" customWidth="1"/>
    <col min="4349" max="4350" width="9.140625" style="1" bestFit="1" customWidth="1"/>
    <col min="4351" max="4352" width="11.140625" style="1" bestFit="1" customWidth="1"/>
    <col min="4353" max="4353" width="11.5703125" style="1" bestFit="1" customWidth="1"/>
    <col min="4354" max="4354" width="9.140625" style="1" bestFit="1" customWidth="1"/>
    <col min="4355" max="4355" width="10.28515625" style="1" customWidth="1"/>
    <col min="4356" max="4594" width="9.140625" style="1"/>
    <col min="4595" max="4595" width="4.28515625" style="1" bestFit="1" customWidth="1"/>
    <col min="4596" max="4596" width="6.85546875" style="1" bestFit="1" customWidth="1"/>
    <col min="4597" max="4597" width="11" style="1" customWidth="1"/>
    <col min="4598" max="4598" width="11.140625" style="1" bestFit="1" customWidth="1"/>
    <col min="4599" max="4599" width="10.85546875" style="1" customWidth="1"/>
    <col min="4600" max="4600" width="11.5703125" style="1" customWidth="1"/>
    <col min="4601" max="4601" width="11.140625" style="1" bestFit="1" customWidth="1"/>
    <col min="4602" max="4602" width="11" style="1" customWidth="1"/>
    <col min="4603" max="4603" width="10.42578125" style="1" customWidth="1"/>
    <col min="4604" max="4604" width="11.28515625" style="1" customWidth="1"/>
    <col min="4605" max="4606" width="9.140625" style="1" bestFit="1" customWidth="1"/>
    <col min="4607" max="4608" width="11.140625" style="1" bestFit="1" customWidth="1"/>
    <col min="4609" max="4609" width="11.5703125" style="1" bestFit="1" customWidth="1"/>
    <col min="4610" max="4610" width="9.140625" style="1" bestFit="1" customWidth="1"/>
    <col min="4611" max="4611" width="10.28515625" style="1" customWidth="1"/>
    <col min="4612" max="4850" width="9.140625" style="1"/>
    <col min="4851" max="4851" width="4.28515625" style="1" bestFit="1" customWidth="1"/>
    <col min="4852" max="4852" width="6.85546875" style="1" bestFit="1" customWidth="1"/>
    <col min="4853" max="4853" width="11" style="1" customWidth="1"/>
    <col min="4854" max="4854" width="11.140625" style="1" bestFit="1" customWidth="1"/>
    <col min="4855" max="4855" width="10.85546875" style="1" customWidth="1"/>
    <col min="4856" max="4856" width="11.5703125" style="1" customWidth="1"/>
    <col min="4857" max="4857" width="11.140625" style="1" bestFit="1" customWidth="1"/>
    <col min="4858" max="4858" width="11" style="1" customWidth="1"/>
    <col min="4859" max="4859" width="10.42578125" style="1" customWidth="1"/>
    <col min="4860" max="4860" width="11.28515625" style="1" customWidth="1"/>
    <col min="4861" max="4862" width="9.140625" style="1" bestFit="1" customWidth="1"/>
    <col min="4863" max="4864" width="11.140625" style="1" bestFit="1" customWidth="1"/>
    <col min="4865" max="4865" width="11.5703125" style="1" bestFit="1" customWidth="1"/>
    <col min="4866" max="4866" width="9.140625" style="1" bestFit="1" customWidth="1"/>
    <col min="4867" max="4867" width="10.28515625" style="1" customWidth="1"/>
    <col min="4868" max="5106" width="9.140625" style="1"/>
    <col min="5107" max="5107" width="4.28515625" style="1" bestFit="1" customWidth="1"/>
    <col min="5108" max="5108" width="6.85546875" style="1" bestFit="1" customWidth="1"/>
    <col min="5109" max="5109" width="11" style="1" customWidth="1"/>
    <col min="5110" max="5110" width="11.140625" style="1" bestFit="1" customWidth="1"/>
    <col min="5111" max="5111" width="10.85546875" style="1" customWidth="1"/>
    <col min="5112" max="5112" width="11.5703125" style="1" customWidth="1"/>
    <col min="5113" max="5113" width="11.140625" style="1" bestFit="1" customWidth="1"/>
    <col min="5114" max="5114" width="11" style="1" customWidth="1"/>
    <col min="5115" max="5115" width="10.42578125" style="1" customWidth="1"/>
    <col min="5116" max="5116" width="11.28515625" style="1" customWidth="1"/>
    <col min="5117" max="5118" width="9.140625" style="1" bestFit="1" customWidth="1"/>
    <col min="5119" max="5120" width="11.140625" style="1" bestFit="1" customWidth="1"/>
    <col min="5121" max="5121" width="11.5703125" style="1" bestFit="1" customWidth="1"/>
    <col min="5122" max="5122" width="9.140625" style="1" bestFit="1" customWidth="1"/>
    <col min="5123" max="5123" width="10.28515625" style="1" customWidth="1"/>
    <col min="5124" max="5362" width="9.140625" style="1"/>
    <col min="5363" max="5363" width="4.28515625" style="1" bestFit="1" customWidth="1"/>
    <col min="5364" max="5364" width="6.85546875" style="1" bestFit="1" customWidth="1"/>
    <col min="5365" max="5365" width="11" style="1" customWidth="1"/>
    <col min="5366" max="5366" width="11.140625" style="1" bestFit="1" customWidth="1"/>
    <col min="5367" max="5367" width="10.85546875" style="1" customWidth="1"/>
    <col min="5368" max="5368" width="11.5703125" style="1" customWidth="1"/>
    <col min="5369" max="5369" width="11.140625" style="1" bestFit="1" customWidth="1"/>
    <col min="5370" max="5370" width="11" style="1" customWidth="1"/>
    <col min="5371" max="5371" width="10.42578125" style="1" customWidth="1"/>
    <col min="5372" max="5372" width="11.28515625" style="1" customWidth="1"/>
    <col min="5373" max="5374" width="9.140625" style="1" bestFit="1" customWidth="1"/>
    <col min="5375" max="5376" width="11.140625" style="1" bestFit="1" customWidth="1"/>
    <col min="5377" max="5377" width="11.5703125" style="1" bestFit="1" customWidth="1"/>
    <col min="5378" max="5378" width="9.140625" style="1" bestFit="1" customWidth="1"/>
    <col min="5379" max="5379" width="10.28515625" style="1" customWidth="1"/>
    <col min="5380" max="5618" width="9.140625" style="1"/>
    <col min="5619" max="5619" width="4.28515625" style="1" bestFit="1" customWidth="1"/>
    <col min="5620" max="5620" width="6.85546875" style="1" bestFit="1" customWidth="1"/>
    <col min="5621" max="5621" width="11" style="1" customWidth="1"/>
    <col min="5622" max="5622" width="11.140625" style="1" bestFit="1" customWidth="1"/>
    <col min="5623" max="5623" width="10.85546875" style="1" customWidth="1"/>
    <col min="5624" max="5624" width="11.5703125" style="1" customWidth="1"/>
    <col min="5625" max="5625" width="11.140625" style="1" bestFit="1" customWidth="1"/>
    <col min="5626" max="5626" width="11" style="1" customWidth="1"/>
    <col min="5627" max="5627" width="10.42578125" style="1" customWidth="1"/>
    <col min="5628" max="5628" width="11.28515625" style="1" customWidth="1"/>
    <col min="5629" max="5630" width="9.140625" style="1" bestFit="1" customWidth="1"/>
    <col min="5631" max="5632" width="11.140625" style="1" bestFit="1" customWidth="1"/>
    <col min="5633" max="5633" width="11.5703125" style="1" bestFit="1" customWidth="1"/>
    <col min="5634" max="5634" width="9.140625" style="1" bestFit="1" customWidth="1"/>
    <col min="5635" max="5635" width="10.28515625" style="1" customWidth="1"/>
    <col min="5636" max="5874" width="9.140625" style="1"/>
    <col min="5875" max="5875" width="4.28515625" style="1" bestFit="1" customWidth="1"/>
    <col min="5876" max="5876" width="6.85546875" style="1" bestFit="1" customWidth="1"/>
    <col min="5877" max="5877" width="11" style="1" customWidth="1"/>
    <col min="5878" max="5878" width="11.140625" style="1" bestFit="1" customWidth="1"/>
    <col min="5879" max="5879" width="10.85546875" style="1" customWidth="1"/>
    <col min="5880" max="5880" width="11.5703125" style="1" customWidth="1"/>
    <col min="5881" max="5881" width="11.140625" style="1" bestFit="1" customWidth="1"/>
    <col min="5882" max="5882" width="11" style="1" customWidth="1"/>
    <col min="5883" max="5883" width="10.42578125" style="1" customWidth="1"/>
    <col min="5884" max="5884" width="11.28515625" style="1" customWidth="1"/>
    <col min="5885" max="5886" width="9.140625" style="1" bestFit="1" customWidth="1"/>
    <col min="5887" max="5888" width="11.140625" style="1" bestFit="1" customWidth="1"/>
    <col min="5889" max="5889" width="11.5703125" style="1" bestFit="1" customWidth="1"/>
    <col min="5890" max="5890" width="9.140625" style="1" bestFit="1" customWidth="1"/>
    <col min="5891" max="5891" width="10.28515625" style="1" customWidth="1"/>
    <col min="5892" max="6130" width="9.140625" style="1"/>
    <col min="6131" max="6131" width="4.28515625" style="1" bestFit="1" customWidth="1"/>
    <col min="6132" max="6132" width="6.85546875" style="1" bestFit="1" customWidth="1"/>
    <col min="6133" max="6133" width="11" style="1" customWidth="1"/>
    <col min="6134" max="6134" width="11.140625" style="1" bestFit="1" customWidth="1"/>
    <col min="6135" max="6135" width="10.85546875" style="1" customWidth="1"/>
    <col min="6136" max="6136" width="11.5703125" style="1" customWidth="1"/>
    <col min="6137" max="6137" width="11.140625" style="1" bestFit="1" customWidth="1"/>
    <col min="6138" max="6138" width="11" style="1" customWidth="1"/>
    <col min="6139" max="6139" width="10.42578125" style="1" customWidth="1"/>
    <col min="6140" max="6140" width="11.28515625" style="1" customWidth="1"/>
    <col min="6141" max="6142" width="9.140625" style="1" bestFit="1" customWidth="1"/>
    <col min="6143" max="6144" width="11.140625" style="1" bestFit="1" customWidth="1"/>
    <col min="6145" max="6145" width="11.5703125" style="1" bestFit="1" customWidth="1"/>
    <col min="6146" max="6146" width="9.140625" style="1" bestFit="1" customWidth="1"/>
    <col min="6147" max="6147" width="10.28515625" style="1" customWidth="1"/>
    <col min="6148" max="6386" width="9.140625" style="1"/>
    <col min="6387" max="6387" width="4.28515625" style="1" bestFit="1" customWidth="1"/>
    <col min="6388" max="6388" width="6.85546875" style="1" bestFit="1" customWidth="1"/>
    <col min="6389" max="6389" width="11" style="1" customWidth="1"/>
    <col min="6390" max="6390" width="11.140625" style="1" bestFit="1" customWidth="1"/>
    <col min="6391" max="6391" width="10.85546875" style="1" customWidth="1"/>
    <col min="6392" max="6392" width="11.5703125" style="1" customWidth="1"/>
    <col min="6393" max="6393" width="11.140625" style="1" bestFit="1" customWidth="1"/>
    <col min="6394" max="6394" width="11" style="1" customWidth="1"/>
    <col min="6395" max="6395" width="10.42578125" style="1" customWidth="1"/>
    <col min="6396" max="6396" width="11.28515625" style="1" customWidth="1"/>
    <col min="6397" max="6398" width="9.140625" style="1" bestFit="1" customWidth="1"/>
    <col min="6399" max="6400" width="11.140625" style="1" bestFit="1" customWidth="1"/>
    <col min="6401" max="6401" width="11.5703125" style="1" bestFit="1" customWidth="1"/>
    <col min="6402" max="6402" width="9.140625" style="1" bestFit="1" customWidth="1"/>
    <col min="6403" max="6403" width="10.28515625" style="1" customWidth="1"/>
    <col min="6404" max="6642" width="9.140625" style="1"/>
    <col min="6643" max="6643" width="4.28515625" style="1" bestFit="1" customWidth="1"/>
    <col min="6644" max="6644" width="6.85546875" style="1" bestFit="1" customWidth="1"/>
    <col min="6645" max="6645" width="11" style="1" customWidth="1"/>
    <col min="6646" max="6646" width="11.140625" style="1" bestFit="1" customWidth="1"/>
    <col min="6647" max="6647" width="10.85546875" style="1" customWidth="1"/>
    <col min="6648" max="6648" width="11.5703125" style="1" customWidth="1"/>
    <col min="6649" max="6649" width="11.140625" style="1" bestFit="1" customWidth="1"/>
    <col min="6650" max="6650" width="11" style="1" customWidth="1"/>
    <col min="6651" max="6651" width="10.42578125" style="1" customWidth="1"/>
    <col min="6652" max="6652" width="11.28515625" style="1" customWidth="1"/>
    <col min="6653" max="6654" width="9.140625" style="1" bestFit="1" customWidth="1"/>
    <col min="6655" max="6656" width="11.140625" style="1" bestFit="1" customWidth="1"/>
    <col min="6657" max="6657" width="11.5703125" style="1" bestFit="1" customWidth="1"/>
    <col min="6658" max="6658" width="9.140625" style="1" bestFit="1" customWidth="1"/>
    <col min="6659" max="6659" width="10.28515625" style="1" customWidth="1"/>
    <col min="6660" max="6898" width="9.140625" style="1"/>
    <col min="6899" max="6899" width="4.28515625" style="1" bestFit="1" customWidth="1"/>
    <col min="6900" max="6900" width="6.85546875" style="1" bestFit="1" customWidth="1"/>
    <col min="6901" max="6901" width="11" style="1" customWidth="1"/>
    <col min="6902" max="6902" width="11.140625" style="1" bestFit="1" customWidth="1"/>
    <col min="6903" max="6903" width="10.85546875" style="1" customWidth="1"/>
    <col min="6904" max="6904" width="11.5703125" style="1" customWidth="1"/>
    <col min="6905" max="6905" width="11.140625" style="1" bestFit="1" customWidth="1"/>
    <col min="6906" max="6906" width="11" style="1" customWidth="1"/>
    <col min="6907" max="6907" width="10.42578125" style="1" customWidth="1"/>
    <col min="6908" max="6908" width="11.28515625" style="1" customWidth="1"/>
    <col min="6909" max="6910" width="9.140625" style="1" bestFit="1" customWidth="1"/>
    <col min="6911" max="6912" width="11.140625" style="1" bestFit="1" customWidth="1"/>
    <col min="6913" max="6913" width="11.5703125" style="1" bestFit="1" customWidth="1"/>
    <col min="6914" max="6914" width="9.140625" style="1" bestFit="1" customWidth="1"/>
    <col min="6915" max="6915" width="10.28515625" style="1" customWidth="1"/>
    <col min="6916" max="7154" width="9.140625" style="1"/>
    <col min="7155" max="7155" width="4.28515625" style="1" bestFit="1" customWidth="1"/>
    <col min="7156" max="7156" width="6.85546875" style="1" bestFit="1" customWidth="1"/>
    <col min="7157" max="7157" width="11" style="1" customWidth="1"/>
    <col min="7158" max="7158" width="11.140625" style="1" bestFit="1" customWidth="1"/>
    <col min="7159" max="7159" width="10.85546875" style="1" customWidth="1"/>
    <col min="7160" max="7160" width="11.5703125" style="1" customWidth="1"/>
    <col min="7161" max="7161" width="11.140625" style="1" bestFit="1" customWidth="1"/>
    <col min="7162" max="7162" width="11" style="1" customWidth="1"/>
    <col min="7163" max="7163" width="10.42578125" style="1" customWidth="1"/>
    <col min="7164" max="7164" width="11.28515625" style="1" customWidth="1"/>
    <col min="7165" max="7166" width="9.140625" style="1" bestFit="1" customWidth="1"/>
    <col min="7167" max="7168" width="11.140625" style="1" bestFit="1" customWidth="1"/>
    <col min="7169" max="7169" width="11.5703125" style="1" bestFit="1" customWidth="1"/>
    <col min="7170" max="7170" width="9.140625" style="1" bestFit="1" customWidth="1"/>
    <col min="7171" max="7171" width="10.28515625" style="1" customWidth="1"/>
    <col min="7172" max="7410" width="9.140625" style="1"/>
    <col min="7411" max="7411" width="4.28515625" style="1" bestFit="1" customWidth="1"/>
    <col min="7412" max="7412" width="6.85546875" style="1" bestFit="1" customWidth="1"/>
    <col min="7413" max="7413" width="11" style="1" customWidth="1"/>
    <col min="7414" max="7414" width="11.140625" style="1" bestFit="1" customWidth="1"/>
    <col min="7415" max="7415" width="10.85546875" style="1" customWidth="1"/>
    <col min="7416" max="7416" width="11.5703125" style="1" customWidth="1"/>
    <col min="7417" max="7417" width="11.140625" style="1" bestFit="1" customWidth="1"/>
    <col min="7418" max="7418" width="11" style="1" customWidth="1"/>
    <col min="7419" max="7419" width="10.42578125" style="1" customWidth="1"/>
    <col min="7420" max="7420" width="11.28515625" style="1" customWidth="1"/>
    <col min="7421" max="7422" width="9.140625" style="1" bestFit="1" customWidth="1"/>
    <col min="7423" max="7424" width="11.140625" style="1" bestFit="1" customWidth="1"/>
    <col min="7425" max="7425" width="11.5703125" style="1" bestFit="1" customWidth="1"/>
    <col min="7426" max="7426" width="9.140625" style="1" bestFit="1" customWidth="1"/>
    <col min="7427" max="7427" width="10.28515625" style="1" customWidth="1"/>
    <col min="7428" max="7666" width="9.140625" style="1"/>
    <col min="7667" max="7667" width="4.28515625" style="1" bestFit="1" customWidth="1"/>
    <col min="7668" max="7668" width="6.85546875" style="1" bestFit="1" customWidth="1"/>
    <col min="7669" max="7669" width="11" style="1" customWidth="1"/>
    <col min="7670" max="7670" width="11.140625" style="1" bestFit="1" customWidth="1"/>
    <col min="7671" max="7671" width="10.85546875" style="1" customWidth="1"/>
    <col min="7672" max="7672" width="11.5703125" style="1" customWidth="1"/>
    <col min="7673" max="7673" width="11.140625" style="1" bestFit="1" customWidth="1"/>
    <col min="7674" max="7674" width="11" style="1" customWidth="1"/>
    <col min="7675" max="7675" width="10.42578125" style="1" customWidth="1"/>
    <col min="7676" max="7676" width="11.28515625" style="1" customWidth="1"/>
    <col min="7677" max="7678" width="9.140625" style="1" bestFit="1" customWidth="1"/>
    <col min="7679" max="7680" width="11.140625" style="1" bestFit="1" customWidth="1"/>
    <col min="7681" max="7681" width="11.5703125" style="1" bestFit="1" customWidth="1"/>
    <col min="7682" max="7682" width="9.140625" style="1" bestFit="1" customWidth="1"/>
    <col min="7683" max="7683" width="10.28515625" style="1" customWidth="1"/>
    <col min="7684" max="7922" width="9.140625" style="1"/>
    <col min="7923" max="7923" width="4.28515625" style="1" bestFit="1" customWidth="1"/>
    <col min="7924" max="7924" width="6.85546875" style="1" bestFit="1" customWidth="1"/>
    <col min="7925" max="7925" width="11" style="1" customWidth="1"/>
    <col min="7926" max="7926" width="11.140625" style="1" bestFit="1" customWidth="1"/>
    <col min="7927" max="7927" width="10.85546875" style="1" customWidth="1"/>
    <col min="7928" max="7928" width="11.5703125" style="1" customWidth="1"/>
    <col min="7929" max="7929" width="11.140625" style="1" bestFit="1" customWidth="1"/>
    <col min="7930" max="7930" width="11" style="1" customWidth="1"/>
    <col min="7931" max="7931" width="10.42578125" style="1" customWidth="1"/>
    <col min="7932" max="7932" width="11.28515625" style="1" customWidth="1"/>
    <col min="7933" max="7934" width="9.140625" style="1" bestFit="1" customWidth="1"/>
    <col min="7935" max="7936" width="11.140625" style="1" bestFit="1" customWidth="1"/>
    <col min="7937" max="7937" width="11.5703125" style="1" bestFit="1" customWidth="1"/>
    <col min="7938" max="7938" width="9.140625" style="1" bestFit="1" customWidth="1"/>
    <col min="7939" max="7939" width="10.28515625" style="1" customWidth="1"/>
    <col min="7940" max="8178" width="9.140625" style="1"/>
    <col min="8179" max="8179" width="4.28515625" style="1" bestFit="1" customWidth="1"/>
    <col min="8180" max="8180" width="6.85546875" style="1" bestFit="1" customWidth="1"/>
    <col min="8181" max="8181" width="11" style="1" customWidth="1"/>
    <col min="8182" max="8182" width="11.140625" style="1" bestFit="1" customWidth="1"/>
    <col min="8183" max="8183" width="10.85546875" style="1" customWidth="1"/>
    <col min="8184" max="8184" width="11.5703125" style="1" customWidth="1"/>
    <col min="8185" max="8185" width="11.140625" style="1" bestFit="1" customWidth="1"/>
    <col min="8186" max="8186" width="11" style="1" customWidth="1"/>
    <col min="8187" max="8187" width="10.42578125" style="1" customWidth="1"/>
    <col min="8188" max="8188" width="11.28515625" style="1" customWidth="1"/>
    <col min="8189" max="8190" width="9.140625" style="1" bestFit="1" customWidth="1"/>
    <col min="8191" max="8192" width="11.140625" style="1" bestFit="1" customWidth="1"/>
    <col min="8193" max="8193" width="11.5703125" style="1" bestFit="1" customWidth="1"/>
    <col min="8194" max="8194" width="9.140625" style="1" bestFit="1" customWidth="1"/>
    <col min="8195" max="8195" width="10.28515625" style="1" customWidth="1"/>
    <col min="8196" max="8434" width="9.140625" style="1"/>
    <col min="8435" max="8435" width="4.28515625" style="1" bestFit="1" customWidth="1"/>
    <col min="8436" max="8436" width="6.85546875" style="1" bestFit="1" customWidth="1"/>
    <col min="8437" max="8437" width="11" style="1" customWidth="1"/>
    <col min="8438" max="8438" width="11.140625" style="1" bestFit="1" customWidth="1"/>
    <col min="8439" max="8439" width="10.85546875" style="1" customWidth="1"/>
    <col min="8440" max="8440" width="11.5703125" style="1" customWidth="1"/>
    <col min="8441" max="8441" width="11.140625" style="1" bestFit="1" customWidth="1"/>
    <col min="8442" max="8442" width="11" style="1" customWidth="1"/>
    <col min="8443" max="8443" width="10.42578125" style="1" customWidth="1"/>
    <col min="8444" max="8444" width="11.28515625" style="1" customWidth="1"/>
    <col min="8445" max="8446" width="9.140625" style="1" bestFit="1" customWidth="1"/>
    <col min="8447" max="8448" width="11.140625" style="1" bestFit="1" customWidth="1"/>
    <col min="8449" max="8449" width="11.5703125" style="1" bestFit="1" customWidth="1"/>
    <col min="8450" max="8450" width="9.140625" style="1" bestFit="1" customWidth="1"/>
    <col min="8451" max="8451" width="10.28515625" style="1" customWidth="1"/>
    <col min="8452" max="8690" width="9.140625" style="1"/>
    <col min="8691" max="8691" width="4.28515625" style="1" bestFit="1" customWidth="1"/>
    <col min="8692" max="8692" width="6.85546875" style="1" bestFit="1" customWidth="1"/>
    <col min="8693" max="8693" width="11" style="1" customWidth="1"/>
    <col min="8694" max="8694" width="11.140625" style="1" bestFit="1" customWidth="1"/>
    <col min="8695" max="8695" width="10.85546875" style="1" customWidth="1"/>
    <col min="8696" max="8696" width="11.5703125" style="1" customWidth="1"/>
    <col min="8697" max="8697" width="11.140625" style="1" bestFit="1" customWidth="1"/>
    <col min="8698" max="8698" width="11" style="1" customWidth="1"/>
    <col min="8699" max="8699" width="10.42578125" style="1" customWidth="1"/>
    <col min="8700" max="8700" width="11.28515625" style="1" customWidth="1"/>
    <col min="8701" max="8702" width="9.140625" style="1" bestFit="1" customWidth="1"/>
    <col min="8703" max="8704" width="11.140625" style="1" bestFit="1" customWidth="1"/>
    <col min="8705" max="8705" width="11.5703125" style="1" bestFit="1" customWidth="1"/>
    <col min="8706" max="8706" width="9.140625" style="1" bestFit="1" customWidth="1"/>
    <col min="8707" max="8707" width="10.28515625" style="1" customWidth="1"/>
    <col min="8708" max="8946" width="9.140625" style="1"/>
    <col min="8947" max="8947" width="4.28515625" style="1" bestFit="1" customWidth="1"/>
    <col min="8948" max="8948" width="6.85546875" style="1" bestFit="1" customWidth="1"/>
    <col min="8949" max="8949" width="11" style="1" customWidth="1"/>
    <col min="8950" max="8950" width="11.140625" style="1" bestFit="1" customWidth="1"/>
    <col min="8951" max="8951" width="10.85546875" style="1" customWidth="1"/>
    <col min="8952" max="8952" width="11.5703125" style="1" customWidth="1"/>
    <col min="8953" max="8953" width="11.140625" style="1" bestFit="1" customWidth="1"/>
    <col min="8954" max="8954" width="11" style="1" customWidth="1"/>
    <col min="8955" max="8955" width="10.42578125" style="1" customWidth="1"/>
    <col min="8956" max="8956" width="11.28515625" style="1" customWidth="1"/>
    <col min="8957" max="8958" width="9.140625" style="1" bestFit="1" customWidth="1"/>
    <col min="8959" max="8960" width="11.140625" style="1" bestFit="1" customWidth="1"/>
    <col min="8961" max="8961" width="11.5703125" style="1" bestFit="1" customWidth="1"/>
    <col min="8962" max="8962" width="9.140625" style="1" bestFit="1" customWidth="1"/>
    <col min="8963" max="8963" width="10.28515625" style="1" customWidth="1"/>
    <col min="8964" max="9202" width="9.140625" style="1"/>
    <col min="9203" max="9203" width="4.28515625" style="1" bestFit="1" customWidth="1"/>
    <col min="9204" max="9204" width="6.85546875" style="1" bestFit="1" customWidth="1"/>
    <col min="9205" max="9205" width="11" style="1" customWidth="1"/>
    <col min="9206" max="9206" width="11.140625" style="1" bestFit="1" customWidth="1"/>
    <col min="9207" max="9207" width="10.85546875" style="1" customWidth="1"/>
    <col min="9208" max="9208" width="11.5703125" style="1" customWidth="1"/>
    <col min="9209" max="9209" width="11.140625" style="1" bestFit="1" customWidth="1"/>
    <col min="9210" max="9210" width="11" style="1" customWidth="1"/>
    <col min="9211" max="9211" width="10.42578125" style="1" customWidth="1"/>
    <col min="9212" max="9212" width="11.28515625" style="1" customWidth="1"/>
    <col min="9213" max="9214" width="9.140625" style="1" bestFit="1" customWidth="1"/>
    <col min="9215" max="9216" width="11.140625" style="1" bestFit="1" customWidth="1"/>
    <col min="9217" max="9217" width="11.5703125" style="1" bestFit="1" customWidth="1"/>
    <col min="9218" max="9218" width="9.140625" style="1" bestFit="1" customWidth="1"/>
    <col min="9219" max="9219" width="10.28515625" style="1" customWidth="1"/>
    <col min="9220" max="9458" width="9.140625" style="1"/>
    <col min="9459" max="9459" width="4.28515625" style="1" bestFit="1" customWidth="1"/>
    <col min="9460" max="9460" width="6.85546875" style="1" bestFit="1" customWidth="1"/>
    <col min="9461" max="9461" width="11" style="1" customWidth="1"/>
    <col min="9462" max="9462" width="11.140625" style="1" bestFit="1" customWidth="1"/>
    <col min="9463" max="9463" width="10.85546875" style="1" customWidth="1"/>
    <col min="9464" max="9464" width="11.5703125" style="1" customWidth="1"/>
    <col min="9465" max="9465" width="11.140625" style="1" bestFit="1" customWidth="1"/>
    <col min="9466" max="9466" width="11" style="1" customWidth="1"/>
    <col min="9467" max="9467" width="10.42578125" style="1" customWidth="1"/>
    <col min="9468" max="9468" width="11.28515625" style="1" customWidth="1"/>
    <col min="9469" max="9470" width="9.140625" style="1" bestFit="1" customWidth="1"/>
    <col min="9471" max="9472" width="11.140625" style="1" bestFit="1" customWidth="1"/>
    <col min="9473" max="9473" width="11.5703125" style="1" bestFit="1" customWidth="1"/>
    <col min="9474" max="9474" width="9.140625" style="1" bestFit="1" customWidth="1"/>
    <col min="9475" max="9475" width="10.28515625" style="1" customWidth="1"/>
    <col min="9476" max="9714" width="9.140625" style="1"/>
    <col min="9715" max="9715" width="4.28515625" style="1" bestFit="1" customWidth="1"/>
    <col min="9716" max="9716" width="6.85546875" style="1" bestFit="1" customWidth="1"/>
    <col min="9717" max="9717" width="11" style="1" customWidth="1"/>
    <col min="9718" max="9718" width="11.140625" style="1" bestFit="1" customWidth="1"/>
    <col min="9719" max="9719" width="10.85546875" style="1" customWidth="1"/>
    <col min="9720" max="9720" width="11.5703125" style="1" customWidth="1"/>
    <col min="9721" max="9721" width="11.140625" style="1" bestFit="1" customWidth="1"/>
    <col min="9722" max="9722" width="11" style="1" customWidth="1"/>
    <col min="9723" max="9723" width="10.42578125" style="1" customWidth="1"/>
    <col min="9724" max="9724" width="11.28515625" style="1" customWidth="1"/>
    <col min="9725" max="9726" width="9.140625" style="1" bestFit="1" customWidth="1"/>
    <col min="9727" max="9728" width="11.140625" style="1" bestFit="1" customWidth="1"/>
    <col min="9729" max="9729" width="11.5703125" style="1" bestFit="1" customWidth="1"/>
    <col min="9730" max="9730" width="9.140625" style="1" bestFit="1" customWidth="1"/>
    <col min="9731" max="9731" width="10.28515625" style="1" customWidth="1"/>
    <col min="9732" max="9970" width="9.140625" style="1"/>
    <col min="9971" max="9971" width="4.28515625" style="1" bestFit="1" customWidth="1"/>
    <col min="9972" max="9972" width="6.85546875" style="1" bestFit="1" customWidth="1"/>
    <col min="9973" max="9973" width="11" style="1" customWidth="1"/>
    <col min="9974" max="9974" width="11.140625" style="1" bestFit="1" customWidth="1"/>
    <col min="9975" max="9975" width="10.85546875" style="1" customWidth="1"/>
    <col min="9976" max="9976" width="11.5703125" style="1" customWidth="1"/>
    <col min="9977" max="9977" width="11.140625" style="1" bestFit="1" customWidth="1"/>
    <col min="9978" max="9978" width="11" style="1" customWidth="1"/>
    <col min="9979" max="9979" width="10.42578125" style="1" customWidth="1"/>
    <col min="9980" max="9980" width="11.28515625" style="1" customWidth="1"/>
    <col min="9981" max="9982" width="9.140625" style="1" bestFit="1" customWidth="1"/>
    <col min="9983" max="9984" width="11.140625" style="1" bestFit="1" customWidth="1"/>
    <col min="9985" max="9985" width="11.5703125" style="1" bestFit="1" customWidth="1"/>
    <col min="9986" max="9986" width="9.140625" style="1" bestFit="1" customWidth="1"/>
    <col min="9987" max="9987" width="10.28515625" style="1" customWidth="1"/>
    <col min="9988" max="10226" width="9.140625" style="1"/>
    <col min="10227" max="10227" width="4.28515625" style="1" bestFit="1" customWidth="1"/>
    <col min="10228" max="10228" width="6.85546875" style="1" bestFit="1" customWidth="1"/>
    <col min="10229" max="10229" width="11" style="1" customWidth="1"/>
    <col min="10230" max="10230" width="11.140625" style="1" bestFit="1" customWidth="1"/>
    <col min="10231" max="10231" width="10.85546875" style="1" customWidth="1"/>
    <col min="10232" max="10232" width="11.5703125" style="1" customWidth="1"/>
    <col min="10233" max="10233" width="11.140625" style="1" bestFit="1" customWidth="1"/>
    <col min="10234" max="10234" width="11" style="1" customWidth="1"/>
    <col min="10235" max="10235" width="10.42578125" style="1" customWidth="1"/>
    <col min="10236" max="10236" width="11.28515625" style="1" customWidth="1"/>
    <col min="10237" max="10238" width="9.140625" style="1" bestFit="1" customWidth="1"/>
    <col min="10239" max="10240" width="11.140625" style="1" bestFit="1" customWidth="1"/>
    <col min="10241" max="10241" width="11.5703125" style="1" bestFit="1" customWidth="1"/>
    <col min="10242" max="10242" width="9.140625" style="1" bestFit="1" customWidth="1"/>
    <col min="10243" max="10243" width="10.28515625" style="1" customWidth="1"/>
    <col min="10244" max="10482" width="9.140625" style="1"/>
    <col min="10483" max="10483" width="4.28515625" style="1" bestFit="1" customWidth="1"/>
    <col min="10484" max="10484" width="6.85546875" style="1" bestFit="1" customWidth="1"/>
    <col min="10485" max="10485" width="11" style="1" customWidth="1"/>
    <col min="10486" max="10486" width="11.140625" style="1" bestFit="1" customWidth="1"/>
    <col min="10487" max="10487" width="10.85546875" style="1" customWidth="1"/>
    <col min="10488" max="10488" width="11.5703125" style="1" customWidth="1"/>
    <col min="10489" max="10489" width="11.140625" style="1" bestFit="1" customWidth="1"/>
    <col min="10490" max="10490" width="11" style="1" customWidth="1"/>
    <col min="10491" max="10491" width="10.42578125" style="1" customWidth="1"/>
    <col min="10492" max="10492" width="11.28515625" style="1" customWidth="1"/>
    <col min="10493" max="10494" width="9.140625" style="1" bestFit="1" customWidth="1"/>
    <col min="10495" max="10496" width="11.140625" style="1" bestFit="1" customWidth="1"/>
    <col min="10497" max="10497" width="11.5703125" style="1" bestFit="1" customWidth="1"/>
    <col min="10498" max="10498" width="9.140625" style="1" bestFit="1" customWidth="1"/>
    <col min="10499" max="10499" width="10.28515625" style="1" customWidth="1"/>
    <col min="10500" max="10738" width="9.140625" style="1"/>
    <col min="10739" max="10739" width="4.28515625" style="1" bestFit="1" customWidth="1"/>
    <col min="10740" max="10740" width="6.85546875" style="1" bestFit="1" customWidth="1"/>
    <col min="10741" max="10741" width="11" style="1" customWidth="1"/>
    <col min="10742" max="10742" width="11.140625" style="1" bestFit="1" customWidth="1"/>
    <col min="10743" max="10743" width="10.85546875" style="1" customWidth="1"/>
    <col min="10744" max="10744" width="11.5703125" style="1" customWidth="1"/>
    <col min="10745" max="10745" width="11.140625" style="1" bestFit="1" customWidth="1"/>
    <col min="10746" max="10746" width="11" style="1" customWidth="1"/>
    <col min="10747" max="10747" width="10.42578125" style="1" customWidth="1"/>
    <col min="10748" max="10748" width="11.28515625" style="1" customWidth="1"/>
    <col min="10749" max="10750" width="9.140625" style="1" bestFit="1" customWidth="1"/>
    <col min="10751" max="10752" width="11.140625" style="1" bestFit="1" customWidth="1"/>
    <col min="10753" max="10753" width="11.5703125" style="1" bestFit="1" customWidth="1"/>
    <col min="10754" max="10754" width="9.140625" style="1" bestFit="1" customWidth="1"/>
    <col min="10755" max="10755" width="10.28515625" style="1" customWidth="1"/>
    <col min="10756" max="10994" width="9.140625" style="1"/>
    <col min="10995" max="10995" width="4.28515625" style="1" bestFit="1" customWidth="1"/>
    <col min="10996" max="10996" width="6.85546875" style="1" bestFit="1" customWidth="1"/>
    <col min="10997" max="10997" width="11" style="1" customWidth="1"/>
    <col min="10998" max="10998" width="11.140625" style="1" bestFit="1" customWidth="1"/>
    <col min="10999" max="10999" width="10.85546875" style="1" customWidth="1"/>
    <col min="11000" max="11000" width="11.5703125" style="1" customWidth="1"/>
    <col min="11001" max="11001" width="11.140625" style="1" bestFit="1" customWidth="1"/>
    <col min="11002" max="11002" width="11" style="1" customWidth="1"/>
    <col min="11003" max="11003" width="10.42578125" style="1" customWidth="1"/>
    <col min="11004" max="11004" width="11.28515625" style="1" customWidth="1"/>
    <col min="11005" max="11006" width="9.140625" style="1" bestFit="1" customWidth="1"/>
    <col min="11007" max="11008" width="11.140625" style="1" bestFit="1" customWidth="1"/>
    <col min="11009" max="11009" width="11.5703125" style="1" bestFit="1" customWidth="1"/>
    <col min="11010" max="11010" width="9.140625" style="1" bestFit="1" customWidth="1"/>
    <col min="11011" max="11011" width="10.28515625" style="1" customWidth="1"/>
    <col min="11012" max="11250" width="9.140625" style="1"/>
    <col min="11251" max="11251" width="4.28515625" style="1" bestFit="1" customWidth="1"/>
    <col min="11252" max="11252" width="6.85546875" style="1" bestFit="1" customWidth="1"/>
    <col min="11253" max="11253" width="11" style="1" customWidth="1"/>
    <col min="11254" max="11254" width="11.140625" style="1" bestFit="1" customWidth="1"/>
    <col min="11255" max="11255" width="10.85546875" style="1" customWidth="1"/>
    <col min="11256" max="11256" width="11.5703125" style="1" customWidth="1"/>
    <col min="11257" max="11257" width="11.140625" style="1" bestFit="1" customWidth="1"/>
    <col min="11258" max="11258" width="11" style="1" customWidth="1"/>
    <col min="11259" max="11259" width="10.42578125" style="1" customWidth="1"/>
    <col min="11260" max="11260" width="11.28515625" style="1" customWidth="1"/>
    <col min="11261" max="11262" width="9.140625" style="1" bestFit="1" customWidth="1"/>
    <col min="11263" max="11264" width="11.140625" style="1" bestFit="1" customWidth="1"/>
    <col min="11265" max="11265" width="11.5703125" style="1" bestFit="1" customWidth="1"/>
    <col min="11266" max="11266" width="9.140625" style="1" bestFit="1" customWidth="1"/>
    <col min="11267" max="11267" width="10.28515625" style="1" customWidth="1"/>
    <col min="11268" max="11506" width="9.140625" style="1"/>
    <col min="11507" max="11507" width="4.28515625" style="1" bestFit="1" customWidth="1"/>
    <col min="11508" max="11508" width="6.85546875" style="1" bestFit="1" customWidth="1"/>
    <col min="11509" max="11509" width="11" style="1" customWidth="1"/>
    <col min="11510" max="11510" width="11.140625" style="1" bestFit="1" customWidth="1"/>
    <col min="11511" max="11511" width="10.85546875" style="1" customWidth="1"/>
    <col min="11512" max="11512" width="11.5703125" style="1" customWidth="1"/>
    <col min="11513" max="11513" width="11.140625" style="1" bestFit="1" customWidth="1"/>
    <col min="11514" max="11514" width="11" style="1" customWidth="1"/>
    <col min="11515" max="11515" width="10.42578125" style="1" customWidth="1"/>
    <col min="11516" max="11516" width="11.28515625" style="1" customWidth="1"/>
    <col min="11517" max="11518" width="9.140625" style="1" bestFit="1" customWidth="1"/>
    <col min="11519" max="11520" width="11.140625" style="1" bestFit="1" customWidth="1"/>
    <col min="11521" max="11521" width="11.5703125" style="1" bestFit="1" customWidth="1"/>
    <col min="11522" max="11522" width="9.140625" style="1" bestFit="1" customWidth="1"/>
    <col min="11523" max="11523" width="10.28515625" style="1" customWidth="1"/>
    <col min="11524" max="11762" width="9.140625" style="1"/>
    <col min="11763" max="11763" width="4.28515625" style="1" bestFit="1" customWidth="1"/>
    <col min="11764" max="11764" width="6.85546875" style="1" bestFit="1" customWidth="1"/>
    <col min="11765" max="11765" width="11" style="1" customWidth="1"/>
    <col min="11766" max="11766" width="11.140625" style="1" bestFit="1" customWidth="1"/>
    <col min="11767" max="11767" width="10.85546875" style="1" customWidth="1"/>
    <col min="11768" max="11768" width="11.5703125" style="1" customWidth="1"/>
    <col min="11769" max="11769" width="11.140625" style="1" bestFit="1" customWidth="1"/>
    <col min="11770" max="11770" width="11" style="1" customWidth="1"/>
    <col min="11771" max="11771" width="10.42578125" style="1" customWidth="1"/>
    <col min="11772" max="11772" width="11.28515625" style="1" customWidth="1"/>
    <col min="11773" max="11774" width="9.140625" style="1" bestFit="1" customWidth="1"/>
    <col min="11775" max="11776" width="11.140625" style="1" bestFit="1" customWidth="1"/>
    <col min="11777" max="11777" width="11.5703125" style="1" bestFit="1" customWidth="1"/>
    <col min="11778" max="11778" width="9.140625" style="1" bestFit="1" customWidth="1"/>
    <col min="11779" max="11779" width="10.28515625" style="1" customWidth="1"/>
    <col min="11780" max="12018" width="9.140625" style="1"/>
    <col min="12019" max="12019" width="4.28515625" style="1" bestFit="1" customWidth="1"/>
    <col min="12020" max="12020" width="6.85546875" style="1" bestFit="1" customWidth="1"/>
    <col min="12021" max="12021" width="11" style="1" customWidth="1"/>
    <col min="12022" max="12022" width="11.140625" style="1" bestFit="1" customWidth="1"/>
    <col min="12023" max="12023" width="10.85546875" style="1" customWidth="1"/>
    <col min="12024" max="12024" width="11.5703125" style="1" customWidth="1"/>
    <col min="12025" max="12025" width="11.140625" style="1" bestFit="1" customWidth="1"/>
    <col min="12026" max="12026" width="11" style="1" customWidth="1"/>
    <col min="12027" max="12027" width="10.42578125" style="1" customWidth="1"/>
    <col min="12028" max="12028" width="11.28515625" style="1" customWidth="1"/>
    <col min="12029" max="12030" width="9.140625" style="1" bestFit="1" customWidth="1"/>
    <col min="12031" max="12032" width="11.140625" style="1" bestFit="1" customWidth="1"/>
    <col min="12033" max="12033" width="11.5703125" style="1" bestFit="1" customWidth="1"/>
    <col min="12034" max="12034" width="9.140625" style="1" bestFit="1" customWidth="1"/>
    <col min="12035" max="12035" width="10.28515625" style="1" customWidth="1"/>
    <col min="12036" max="12274" width="9.140625" style="1"/>
    <col min="12275" max="12275" width="4.28515625" style="1" bestFit="1" customWidth="1"/>
    <col min="12276" max="12276" width="6.85546875" style="1" bestFit="1" customWidth="1"/>
    <col min="12277" max="12277" width="11" style="1" customWidth="1"/>
    <col min="12278" max="12278" width="11.140625" style="1" bestFit="1" customWidth="1"/>
    <col min="12279" max="12279" width="10.85546875" style="1" customWidth="1"/>
    <col min="12280" max="12280" width="11.5703125" style="1" customWidth="1"/>
    <col min="12281" max="12281" width="11.140625" style="1" bestFit="1" customWidth="1"/>
    <col min="12282" max="12282" width="11" style="1" customWidth="1"/>
    <col min="12283" max="12283" width="10.42578125" style="1" customWidth="1"/>
    <col min="12284" max="12284" width="11.28515625" style="1" customWidth="1"/>
    <col min="12285" max="12286" width="9.140625" style="1" bestFit="1" customWidth="1"/>
    <col min="12287" max="12288" width="11.140625" style="1" bestFit="1" customWidth="1"/>
    <col min="12289" max="12289" width="11.5703125" style="1" bestFit="1" customWidth="1"/>
    <col min="12290" max="12290" width="9.140625" style="1" bestFit="1" customWidth="1"/>
    <col min="12291" max="12291" width="10.28515625" style="1" customWidth="1"/>
    <col min="12292" max="12530" width="9.140625" style="1"/>
    <col min="12531" max="12531" width="4.28515625" style="1" bestFit="1" customWidth="1"/>
    <col min="12532" max="12532" width="6.85546875" style="1" bestFit="1" customWidth="1"/>
    <col min="12533" max="12533" width="11" style="1" customWidth="1"/>
    <col min="12534" max="12534" width="11.140625" style="1" bestFit="1" customWidth="1"/>
    <col min="12535" max="12535" width="10.85546875" style="1" customWidth="1"/>
    <col min="12536" max="12536" width="11.5703125" style="1" customWidth="1"/>
    <col min="12537" max="12537" width="11.140625" style="1" bestFit="1" customWidth="1"/>
    <col min="12538" max="12538" width="11" style="1" customWidth="1"/>
    <col min="12539" max="12539" width="10.42578125" style="1" customWidth="1"/>
    <col min="12540" max="12540" width="11.28515625" style="1" customWidth="1"/>
    <col min="12541" max="12542" width="9.140625" style="1" bestFit="1" customWidth="1"/>
    <col min="12543" max="12544" width="11.140625" style="1" bestFit="1" customWidth="1"/>
    <col min="12545" max="12545" width="11.5703125" style="1" bestFit="1" customWidth="1"/>
    <col min="12546" max="12546" width="9.140625" style="1" bestFit="1" customWidth="1"/>
    <col min="12547" max="12547" width="10.28515625" style="1" customWidth="1"/>
    <col min="12548" max="12786" width="9.140625" style="1"/>
    <col min="12787" max="12787" width="4.28515625" style="1" bestFit="1" customWidth="1"/>
    <col min="12788" max="12788" width="6.85546875" style="1" bestFit="1" customWidth="1"/>
    <col min="12789" max="12789" width="11" style="1" customWidth="1"/>
    <col min="12790" max="12790" width="11.140625" style="1" bestFit="1" customWidth="1"/>
    <col min="12791" max="12791" width="10.85546875" style="1" customWidth="1"/>
    <col min="12792" max="12792" width="11.5703125" style="1" customWidth="1"/>
    <col min="12793" max="12793" width="11.140625" style="1" bestFit="1" customWidth="1"/>
    <col min="12794" max="12794" width="11" style="1" customWidth="1"/>
    <col min="12795" max="12795" width="10.42578125" style="1" customWidth="1"/>
    <col min="12796" max="12796" width="11.28515625" style="1" customWidth="1"/>
    <col min="12797" max="12798" width="9.140625" style="1" bestFit="1" customWidth="1"/>
    <col min="12799" max="12800" width="11.140625" style="1" bestFit="1" customWidth="1"/>
    <col min="12801" max="12801" width="11.5703125" style="1" bestFit="1" customWidth="1"/>
    <col min="12802" max="12802" width="9.140625" style="1" bestFit="1" customWidth="1"/>
    <col min="12803" max="12803" width="10.28515625" style="1" customWidth="1"/>
    <col min="12804" max="13042" width="9.140625" style="1"/>
    <col min="13043" max="13043" width="4.28515625" style="1" bestFit="1" customWidth="1"/>
    <col min="13044" max="13044" width="6.85546875" style="1" bestFit="1" customWidth="1"/>
    <col min="13045" max="13045" width="11" style="1" customWidth="1"/>
    <col min="13046" max="13046" width="11.140625" style="1" bestFit="1" customWidth="1"/>
    <col min="13047" max="13047" width="10.85546875" style="1" customWidth="1"/>
    <col min="13048" max="13048" width="11.5703125" style="1" customWidth="1"/>
    <col min="13049" max="13049" width="11.140625" style="1" bestFit="1" customWidth="1"/>
    <col min="13050" max="13050" width="11" style="1" customWidth="1"/>
    <col min="13051" max="13051" width="10.42578125" style="1" customWidth="1"/>
    <col min="13052" max="13052" width="11.28515625" style="1" customWidth="1"/>
    <col min="13053" max="13054" width="9.140625" style="1" bestFit="1" customWidth="1"/>
    <col min="13055" max="13056" width="11.140625" style="1" bestFit="1" customWidth="1"/>
    <col min="13057" max="13057" width="11.5703125" style="1" bestFit="1" customWidth="1"/>
    <col min="13058" max="13058" width="9.140625" style="1" bestFit="1" customWidth="1"/>
    <col min="13059" max="13059" width="10.28515625" style="1" customWidth="1"/>
    <col min="13060" max="13298" width="9.140625" style="1"/>
    <col min="13299" max="13299" width="4.28515625" style="1" bestFit="1" customWidth="1"/>
    <col min="13300" max="13300" width="6.85546875" style="1" bestFit="1" customWidth="1"/>
    <col min="13301" max="13301" width="11" style="1" customWidth="1"/>
    <col min="13302" max="13302" width="11.140625" style="1" bestFit="1" customWidth="1"/>
    <col min="13303" max="13303" width="10.85546875" style="1" customWidth="1"/>
    <col min="13304" max="13304" width="11.5703125" style="1" customWidth="1"/>
    <col min="13305" max="13305" width="11.140625" style="1" bestFit="1" customWidth="1"/>
    <col min="13306" max="13306" width="11" style="1" customWidth="1"/>
    <col min="13307" max="13307" width="10.42578125" style="1" customWidth="1"/>
    <col min="13308" max="13308" width="11.28515625" style="1" customWidth="1"/>
    <col min="13309" max="13310" width="9.140625" style="1" bestFit="1" customWidth="1"/>
    <col min="13311" max="13312" width="11.140625" style="1" bestFit="1" customWidth="1"/>
    <col min="13313" max="13313" width="11.5703125" style="1" bestFit="1" customWidth="1"/>
    <col min="13314" max="13314" width="9.140625" style="1" bestFit="1" customWidth="1"/>
    <col min="13315" max="13315" width="10.28515625" style="1" customWidth="1"/>
    <col min="13316" max="13554" width="9.140625" style="1"/>
    <col min="13555" max="13555" width="4.28515625" style="1" bestFit="1" customWidth="1"/>
    <col min="13556" max="13556" width="6.85546875" style="1" bestFit="1" customWidth="1"/>
    <col min="13557" max="13557" width="11" style="1" customWidth="1"/>
    <col min="13558" max="13558" width="11.140625" style="1" bestFit="1" customWidth="1"/>
    <col min="13559" max="13559" width="10.85546875" style="1" customWidth="1"/>
    <col min="13560" max="13560" width="11.5703125" style="1" customWidth="1"/>
    <col min="13561" max="13561" width="11.140625" style="1" bestFit="1" customWidth="1"/>
    <col min="13562" max="13562" width="11" style="1" customWidth="1"/>
    <col min="13563" max="13563" width="10.42578125" style="1" customWidth="1"/>
    <col min="13564" max="13564" width="11.28515625" style="1" customWidth="1"/>
    <col min="13565" max="13566" width="9.140625" style="1" bestFit="1" customWidth="1"/>
    <col min="13567" max="13568" width="11.140625" style="1" bestFit="1" customWidth="1"/>
    <col min="13569" max="13569" width="11.5703125" style="1" bestFit="1" customWidth="1"/>
    <col min="13570" max="13570" width="9.140625" style="1" bestFit="1" customWidth="1"/>
    <col min="13571" max="13571" width="10.28515625" style="1" customWidth="1"/>
    <col min="13572" max="13810" width="9.140625" style="1"/>
    <col min="13811" max="13811" width="4.28515625" style="1" bestFit="1" customWidth="1"/>
    <col min="13812" max="13812" width="6.85546875" style="1" bestFit="1" customWidth="1"/>
    <col min="13813" max="13813" width="11" style="1" customWidth="1"/>
    <col min="13814" max="13814" width="11.140625" style="1" bestFit="1" customWidth="1"/>
    <col min="13815" max="13815" width="10.85546875" style="1" customWidth="1"/>
    <col min="13816" max="13816" width="11.5703125" style="1" customWidth="1"/>
    <col min="13817" max="13817" width="11.140625" style="1" bestFit="1" customWidth="1"/>
    <col min="13818" max="13818" width="11" style="1" customWidth="1"/>
    <col min="13819" max="13819" width="10.42578125" style="1" customWidth="1"/>
    <col min="13820" max="13820" width="11.28515625" style="1" customWidth="1"/>
    <col min="13821" max="13822" width="9.140625" style="1" bestFit="1" customWidth="1"/>
    <col min="13823" max="13824" width="11.140625" style="1" bestFit="1" customWidth="1"/>
    <col min="13825" max="13825" width="11.5703125" style="1" bestFit="1" customWidth="1"/>
    <col min="13826" max="13826" width="9.140625" style="1" bestFit="1" customWidth="1"/>
    <col min="13827" max="13827" width="10.28515625" style="1" customWidth="1"/>
    <col min="13828" max="14066" width="9.140625" style="1"/>
    <col min="14067" max="14067" width="4.28515625" style="1" bestFit="1" customWidth="1"/>
    <col min="14068" max="14068" width="6.85546875" style="1" bestFit="1" customWidth="1"/>
    <col min="14069" max="14069" width="11" style="1" customWidth="1"/>
    <col min="14070" max="14070" width="11.140625" style="1" bestFit="1" customWidth="1"/>
    <col min="14071" max="14071" width="10.85546875" style="1" customWidth="1"/>
    <col min="14072" max="14072" width="11.5703125" style="1" customWidth="1"/>
    <col min="14073" max="14073" width="11.140625" style="1" bestFit="1" customWidth="1"/>
    <col min="14074" max="14074" width="11" style="1" customWidth="1"/>
    <col min="14075" max="14075" width="10.42578125" style="1" customWidth="1"/>
    <col min="14076" max="14076" width="11.28515625" style="1" customWidth="1"/>
    <col min="14077" max="14078" width="9.140625" style="1" bestFit="1" customWidth="1"/>
    <col min="14079" max="14080" width="11.140625" style="1" bestFit="1" customWidth="1"/>
    <col min="14081" max="14081" width="11.5703125" style="1" bestFit="1" customWidth="1"/>
    <col min="14082" max="14082" width="9.140625" style="1" bestFit="1" customWidth="1"/>
    <col min="14083" max="14083" width="10.28515625" style="1" customWidth="1"/>
    <col min="14084" max="14322" width="9.140625" style="1"/>
    <col min="14323" max="14323" width="4.28515625" style="1" bestFit="1" customWidth="1"/>
    <col min="14324" max="14324" width="6.85546875" style="1" bestFit="1" customWidth="1"/>
    <col min="14325" max="14325" width="11" style="1" customWidth="1"/>
    <col min="14326" max="14326" width="11.140625" style="1" bestFit="1" customWidth="1"/>
    <col min="14327" max="14327" width="10.85546875" style="1" customWidth="1"/>
    <col min="14328" max="14328" width="11.5703125" style="1" customWidth="1"/>
    <col min="14329" max="14329" width="11.140625" style="1" bestFit="1" customWidth="1"/>
    <col min="14330" max="14330" width="11" style="1" customWidth="1"/>
    <col min="14331" max="14331" width="10.42578125" style="1" customWidth="1"/>
    <col min="14332" max="14332" width="11.28515625" style="1" customWidth="1"/>
    <col min="14333" max="14334" width="9.140625" style="1" bestFit="1" customWidth="1"/>
    <col min="14335" max="14336" width="11.140625" style="1" bestFit="1" customWidth="1"/>
    <col min="14337" max="14337" width="11.5703125" style="1" bestFit="1" customWidth="1"/>
    <col min="14338" max="14338" width="9.140625" style="1" bestFit="1" customWidth="1"/>
    <col min="14339" max="14339" width="10.28515625" style="1" customWidth="1"/>
    <col min="14340" max="14578" width="9.140625" style="1"/>
    <col min="14579" max="14579" width="4.28515625" style="1" bestFit="1" customWidth="1"/>
    <col min="14580" max="14580" width="6.85546875" style="1" bestFit="1" customWidth="1"/>
    <col min="14581" max="14581" width="11" style="1" customWidth="1"/>
    <col min="14582" max="14582" width="11.140625" style="1" bestFit="1" customWidth="1"/>
    <col min="14583" max="14583" width="10.85546875" style="1" customWidth="1"/>
    <col min="14584" max="14584" width="11.5703125" style="1" customWidth="1"/>
    <col min="14585" max="14585" width="11.140625" style="1" bestFit="1" customWidth="1"/>
    <col min="14586" max="14586" width="11" style="1" customWidth="1"/>
    <col min="14587" max="14587" width="10.42578125" style="1" customWidth="1"/>
    <col min="14588" max="14588" width="11.28515625" style="1" customWidth="1"/>
    <col min="14589" max="14590" width="9.140625" style="1" bestFit="1" customWidth="1"/>
    <col min="14591" max="14592" width="11.140625" style="1" bestFit="1" customWidth="1"/>
    <col min="14593" max="14593" width="11.5703125" style="1" bestFit="1" customWidth="1"/>
    <col min="14594" max="14594" width="9.140625" style="1" bestFit="1" customWidth="1"/>
    <col min="14595" max="14595" width="10.28515625" style="1" customWidth="1"/>
    <col min="14596" max="14834" width="9.140625" style="1"/>
    <col min="14835" max="14835" width="4.28515625" style="1" bestFit="1" customWidth="1"/>
    <col min="14836" max="14836" width="6.85546875" style="1" bestFit="1" customWidth="1"/>
    <col min="14837" max="14837" width="11" style="1" customWidth="1"/>
    <col min="14838" max="14838" width="11.140625" style="1" bestFit="1" customWidth="1"/>
    <col min="14839" max="14839" width="10.85546875" style="1" customWidth="1"/>
    <col min="14840" max="14840" width="11.5703125" style="1" customWidth="1"/>
    <col min="14841" max="14841" width="11.140625" style="1" bestFit="1" customWidth="1"/>
    <col min="14842" max="14842" width="11" style="1" customWidth="1"/>
    <col min="14843" max="14843" width="10.42578125" style="1" customWidth="1"/>
    <col min="14844" max="14844" width="11.28515625" style="1" customWidth="1"/>
    <col min="14845" max="14846" width="9.140625" style="1" bestFit="1" customWidth="1"/>
    <col min="14847" max="14848" width="11.140625" style="1" bestFit="1" customWidth="1"/>
    <col min="14849" max="14849" width="11.5703125" style="1" bestFit="1" customWidth="1"/>
    <col min="14850" max="14850" width="9.140625" style="1" bestFit="1" customWidth="1"/>
    <col min="14851" max="14851" width="10.28515625" style="1" customWidth="1"/>
    <col min="14852" max="15090" width="9.140625" style="1"/>
    <col min="15091" max="15091" width="4.28515625" style="1" bestFit="1" customWidth="1"/>
    <col min="15092" max="15092" width="6.85546875" style="1" bestFit="1" customWidth="1"/>
    <col min="15093" max="15093" width="11" style="1" customWidth="1"/>
    <col min="15094" max="15094" width="11.140625" style="1" bestFit="1" customWidth="1"/>
    <col min="15095" max="15095" width="10.85546875" style="1" customWidth="1"/>
    <col min="15096" max="15096" width="11.5703125" style="1" customWidth="1"/>
    <col min="15097" max="15097" width="11.140625" style="1" bestFit="1" customWidth="1"/>
    <col min="15098" max="15098" width="11" style="1" customWidth="1"/>
    <col min="15099" max="15099" width="10.42578125" style="1" customWidth="1"/>
    <col min="15100" max="15100" width="11.28515625" style="1" customWidth="1"/>
    <col min="15101" max="15102" width="9.140625" style="1" bestFit="1" customWidth="1"/>
    <col min="15103" max="15104" width="11.140625" style="1" bestFit="1" customWidth="1"/>
    <col min="15105" max="15105" width="11.5703125" style="1" bestFit="1" customWidth="1"/>
    <col min="15106" max="15106" width="9.140625" style="1" bestFit="1" customWidth="1"/>
    <col min="15107" max="15107" width="10.28515625" style="1" customWidth="1"/>
    <col min="15108" max="15346" width="9.140625" style="1"/>
    <col min="15347" max="15347" width="4.28515625" style="1" bestFit="1" customWidth="1"/>
    <col min="15348" max="15348" width="6.85546875" style="1" bestFit="1" customWidth="1"/>
    <col min="15349" max="15349" width="11" style="1" customWidth="1"/>
    <col min="15350" max="15350" width="11.140625" style="1" bestFit="1" customWidth="1"/>
    <col min="15351" max="15351" width="10.85546875" style="1" customWidth="1"/>
    <col min="15352" max="15352" width="11.5703125" style="1" customWidth="1"/>
    <col min="15353" max="15353" width="11.140625" style="1" bestFit="1" customWidth="1"/>
    <col min="15354" max="15354" width="11" style="1" customWidth="1"/>
    <col min="15355" max="15355" width="10.42578125" style="1" customWidth="1"/>
    <col min="15356" max="15356" width="11.28515625" style="1" customWidth="1"/>
    <col min="15357" max="15358" width="9.140625" style="1" bestFit="1" customWidth="1"/>
    <col min="15359" max="15360" width="11.140625" style="1" bestFit="1" customWidth="1"/>
    <col min="15361" max="15361" width="11.5703125" style="1" bestFit="1" customWidth="1"/>
    <col min="15362" max="15362" width="9.140625" style="1" bestFit="1" customWidth="1"/>
    <col min="15363" max="15363" width="10.28515625" style="1" customWidth="1"/>
    <col min="15364" max="15602" width="9.140625" style="1"/>
    <col min="15603" max="15603" width="4.28515625" style="1" bestFit="1" customWidth="1"/>
    <col min="15604" max="15604" width="6.85546875" style="1" bestFit="1" customWidth="1"/>
    <col min="15605" max="15605" width="11" style="1" customWidth="1"/>
    <col min="15606" max="15606" width="11.140625" style="1" bestFit="1" customWidth="1"/>
    <col min="15607" max="15607" width="10.85546875" style="1" customWidth="1"/>
    <col min="15608" max="15608" width="11.5703125" style="1" customWidth="1"/>
    <col min="15609" max="15609" width="11.140625" style="1" bestFit="1" customWidth="1"/>
    <col min="15610" max="15610" width="11" style="1" customWidth="1"/>
    <col min="15611" max="15611" width="10.42578125" style="1" customWidth="1"/>
    <col min="15612" max="15612" width="11.28515625" style="1" customWidth="1"/>
    <col min="15613" max="15614" width="9.140625" style="1" bestFit="1" customWidth="1"/>
    <col min="15615" max="15616" width="11.140625" style="1" bestFit="1" customWidth="1"/>
    <col min="15617" max="15617" width="11.5703125" style="1" bestFit="1" customWidth="1"/>
    <col min="15618" max="15618" width="9.140625" style="1" bestFit="1" customWidth="1"/>
    <col min="15619" max="15619" width="10.28515625" style="1" customWidth="1"/>
    <col min="15620" max="15858" width="9.140625" style="1"/>
    <col min="15859" max="15859" width="4.28515625" style="1" bestFit="1" customWidth="1"/>
    <col min="15860" max="15860" width="6.85546875" style="1" bestFit="1" customWidth="1"/>
    <col min="15861" max="15861" width="11" style="1" customWidth="1"/>
    <col min="15862" max="15862" width="11.140625" style="1" bestFit="1" customWidth="1"/>
    <col min="15863" max="15863" width="10.85546875" style="1" customWidth="1"/>
    <col min="15864" max="15864" width="11.5703125" style="1" customWidth="1"/>
    <col min="15865" max="15865" width="11.140625" style="1" bestFit="1" customWidth="1"/>
    <col min="15866" max="15866" width="11" style="1" customWidth="1"/>
    <col min="15867" max="15867" width="10.42578125" style="1" customWidth="1"/>
    <col min="15868" max="15868" width="11.28515625" style="1" customWidth="1"/>
    <col min="15869" max="15870" width="9.140625" style="1" bestFit="1" customWidth="1"/>
    <col min="15871" max="15872" width="11.140625" style="1" bestFit="1" customWidth="1"/>
    <col min="15873" max="15873" width="11.5703125" style="1" bestFit="1" customWidth="1"/>
    <col min="15874" max="15874" width="9.140625" style="1" bestFit="1" customWidth="1"/>
    <col min="15875" max="15875" width="10.28515625" style="1" customWidth="1"/>
    <col min="15876" max="16114" width="9.140625" style="1"/>
    <col min="16115" max="16115" width="4.28515625" style="1" bestFit="1" customWidth="1"/>
    <col min="16116" max="16116" width="6.85546875" style="1" bestFit="1" customWidth="1"/>
    <col min="16117" max="16117" width="11" style="1" customWidth="1"/>
    <col min="16118" max="16118" width="11.140625" style="1" bestFit="1" customWidth="1"/>
    <col min="16119" max="16119" width="10.85546875" style="1" customWidth="1"/>
    <col min="16120" max="16120" width="11.5703125" style="1" customWidth="1"/>
    <col min="16121" max="16121" width="11.140625" style="1" bestFit="1" customWidth="1"/>
    <col min="16122" max="16122" width="11" style="1" customWidth="1"/>
    <col min="16123" max="16123" width="10.42578125" style="1" customWidth="1"/>
    <col min="16124" max="16124" width="11.28515625" style="1" customWidth="1"/>
    <col min="16125" max="16126" width="9.140625" style="1" bestFit="1" customWidth="1"/>
    <col min="16127" max="16128" width="11.140625" style="1" bestFit="1" customWidth="1"/>
    <col min="16129" max="16129" width="11.5703125" style="1" bestFit="1" customWidth="1"/>
    <col min="16130" max="16130" width="9.140625" style="1" bestFit="1" customWidth="1"/>
    <col min="16131" max="16131" width="10.28515625" style="1" customWidth="1"/>
    <col min="16132" max="16384" width="9.140625" style="1"/>
  </cols>
  <sheetData>
    <row r="1" spans="1:226" ht="54" customHeight="1">
      <c r="A1" s="8"/>
      <c r="B1" s="8"/>
      <c r="C1" s="8"/>
      <c r="D1" s="8"/>
      <c r="E1" s="8"/>
      <c r="F1" s="8"/>
      <c r="G1" s="8"/>
      <c r="H1" s="1523" t="s">
        <v>1059</v>
      </c>
      <c r="I1" s="1523"/>
      <c r="J1" s="1523"/>
    </row>
    <row r="2" spans="1:226" ht="74.25" customHeight="1">
      <c r="A2" s="1524" t="s">
        <v>922</v>
      </c>
      <c r="B2" s="1524"/>
      <c r="C2" s="1524"/>
      <c r="D2" s="1524"/>
      <c r="E2" s="1524"/>
      <c r="F2" s="1524"/>
      <c r="G2" s="1524"/>
      <c r="H2" s="1524"/>
      <c r="I2" s="1524"/>
      <c r="J2" s="1524"/>
    </row>
    <row r="3" spans="1:226" ht="15.75">
      <c r="D3" s="923"/>
      <c r="E3" s="923"/>
    </row>
    <row r="4" spans="1:226" ht="14.25" customHeight="1" thickBot="1">
      <c r="A4" s="1525" t="s">
        <v>45</v>
      </c>
      <c r="B4" s="1525"/>
      <c r="C4" s="1525"/>
      <c r="D4" s="1525"/>
      <c r="E4" s="1525"/>
      <c r="F4" s="1525"/>
      <c r="G4" s="1525"/>
      <c r="H4" s="1525"/>
      <c r="I4" s="1525"/>
      <c r="J4" s="1525"/>
    </row>
    <row r="5" spans="1:226" ht="17.25" customHeight="1">
      <c r="A5" s="1526" t="s">
        <v>39</v>
      </c>
      <c r="B5" s="1528" t="s">
        <v>923</v>
      </c>
      <c r="C5" s="1530" t="s">
        <v>0</v>
      </c>
      <c r="D5" s="1531" t="s">
        <v>1</v>
      </c>
      <c r="E5" s="1533" t="s">
        <v>8</v>
      </c>
      <c r="F5" s="1534" t="s">
        <v>924</v>
      </c>
      <c r="G5" s="1536" t="s">
        <v>2</v>
      </c>
      <c r="H5" s="1536"/>
      <c r="I5" s="1536"/>
      <c r="J5" s="1537"/>
    </row>
    <row r="6" spans="1:226" ht="38.25" customHeight="1">
      <c r="A6" s="1527"/>
      <c r="B6" s="1529"/>
      <c r="C6" s="1529"/>
      <c r="D6" s="1532"/>
      <c r="E6" s="1532"/>
      <c r="F6" s="1535"/>
      <c r="G6" s="924" t="s">
        <v>925</v>
      </c>
      <c r="H6" s="924" t="s">
        <v>926</v>
      </c>
      <c r="I6" s="924" t="s">
        <v>927</v>
      </c>
      <c r="J6" s="925" t="s">
        <v>928</v>
      </c>
    </row>
    <row r="7" spans="1:226" s="930" customFormat="1" ht="9.9499999999999993" customHeight="1" thickBot="1">
      <c r="A7" s="926" t="s">
        <v>205</v>
      </c>
      <c r="B7" s="927" t="s">
        <v>206</v>
      </c>
      <c r="C7" s="927" t="s">
        <v>207</v>
      </c>
      <c r="D7" s="927" t="s">
        <v>208</v>
      </c>
      <c r="E7" s="927" t="s">
        <v>209</v>
      </c>
      <c r="F7" s="928" t="s">
        <v>694</v>
      </c>
      <c r="G7" s="928" t="s">
        <v>929</v>
      </c>
      <c r="H7" s="928" t="s">
        <v>930</v>
      </c>
      <c r="I7" s="928" t="s">
        <v>931</v>
      </c>
      <c r="J7" s="929" t="s">
        <v>932</v>
      </c>
    </row>
    <row r="8" spans="1:226" s="934" customFormat="1" ht="24.95" customHeight="1" thickBot="1">
      <c r="A8" s="931" t="s">
        <v>933</v>
      </c>
      <c r="B8" s="1515" t="s">
        <v>934</v>
      </c>
      <c r="C8" s="1515"/>
      <c r="D8" s="1515"/>
      <c r="E8" s="1515"/>
      <c r="F8" s="932">
        <f>F10+F66+F79+F91+F107+F118+F130+F143+F167+F188+F209+F221+F234+F246+F290+F327</f>
        <v>436366375</v>
      </c>
      <c r="G8" s="932">
        <f t="shared" ref="G8:J8" si="0">G10+G66+G79+G91+G107+G118+G130+G143+G167+G188+G209+G221+G234+G246+G290+G327</f>
        <v>134985843</v>
      </c>
      <c r="H8" s="932">
        <f t="shared" si="0"/>
        <v>231896461</v>
      </c>
      <c r="I8" s="932">
        <f t="shared" si="0"/>
        <v>66493201</v>
      </c>
      <c r="J8" s="933">
        <f t="shared" si="0"/>
        <v>2990870</v>
      </c>
    </row>
    <row r="9" spans="1:226" s="930" customFormat="1">
      <c r="A9" s="1516"/>
      <c r="B9" s="1517"/>
      <c r="C9" s="1517"/>
      <c r="D9" s="1517"/>
      <c r="E9" s="1517"/>
      <c r="F9" s="1517"/>
      <c r="G9" s="1517"/>
      <c r="H9" s="1517"/>
      <c r="I9" s="1517"/>
      <c r="J9" s="1518"/>
    </row>
    <row r="10" spans="1:226" s="939" customFormat="1" ht="24.95" customHeight="1">
      <c r="A10" s="1499" t="s">
        <v>935</v>
      </c>
      <c r="B10" s="1520" t="s">
        <v>936</v>
      </c>
      <c r="C10" s="1521"/>
      <c r="D10" s="1521"/>
      <c r="E10" s="935" t="s">
        <v>937</v>
      </c>
      <c r="F10" s="936">
        <f>SUM(F11,F17)</f>
        <v>22124738</v>
      </c>
      <c r="G10" s="936">
        <f>SUM(G11,G17)</f>
        <v>0</v>
      </c>
      <c r="H10" s="936">
        <f>SUM(H11,H17)</f>
        <v>0</v>
      </c>
      <c r="I10" s="936">
        <f>SUM(I11,I17)</f>
        <v>22124738</v>
      </c>
      <c r="J10" s="937">
        <f>SUM(J11,J17)</f>
        <v>0</v>
      </c>
      <c r="K10" s="938"/>
      <c r="L10" s="938"/>
      <c r="M10" s="938"/>
      <c r="N10" s="938"/>
      <c r="O10" s="938"/>
      <c r="P10" s="938"/>
      <c r="Q10" s="938"/>
      <c r="R10" s="938"/>
      <c r="S10" s="938"/>
      <c r="T10" s="938"/>
      <c r="U10" s="938"/>
      <c r="V10" s="938"/>
      <c r="W10" s="938"/>
      <c r="X10" s="938"/>
      <c r="Y10" s="938"/>
      <c r="Z10" s="938"/>
      <c r="AA10" s="938"/>
      <c r="AB10" s="938"/>
      <c r="AC10" s="938"/>
      <c r="AD10" s="938"/>
      <c r="AE10" s="938"/>
      <c r="AF10" s="938"/>
      <c r="AG10" s="938"/>
      <c r="AH10" s="938"/>
      <c r="AI10" s="938"/>
      <c r="AJ10" s="938"/>
      <c r="AK10" s="938"/>
      <c r="AL10" s="938"/>
      <c r="AM10" s="938"/>
      <c r="AN10" s="938"/>
      <c r="AO10" s="938"/>
      <c r="AP10" s="938"/>
      <c r="AQ10" s="938"/>
      <c r="AR10" s="938"/>
      <c r="AS10" s="938"/>
      <c r="AT10" s="938"/>
      <c r="AU10" s="938"/>
      <c r="AV10" s="938"/>
      <c r="AW10" s="938"/>
      <c r="AX10" s="938"/>
      <c r="AY10" s="938"/>
      <c r="AZ10" s="938"/>
      <c r="BA10" s="938"/>
      <c r="BB10" s="938"/>
      <c r="BC10" s="938"/>
      <c r="BD10" s="938"/>
      <c r="BE10" s="938"/>
      <c r="BF10" s="938"/>
      <c r="BG10" s="938"/>
      <c r="BH10" s="938"/>
      <c r="BI10" s="938"/>
      <c r="BJ10" s="938"/>
      <c r="BK10" s="938"/>
      <c r="BL10" s="938"/>
      <c r="BM10" s="938"/>
      <c r="BN10" s="938"/>
      <c r="BO10" s="938"/>
      <c r="BP10" s="938"/>
      <c r="BQ10" s="938"/>
      <c r="BR10" s="938"/>
      <c r="BS10" s="938"/>
      <c r="BT10" s="938"/>
      <c r="BU10" s="938"/>
      <c r="BV10" s="938"/>
      <c r="BW10" s="938"/>
      <c r="BX10" s="938"/>
      <c r="BY10" s="938"/>
      <c r="BZ10" s="938"/>
      <c r="CA10" s="938"/>
      <c r="CB10" s="938"/>
      <c r="CC10" s="938"/>
      <c r="CD10" s="938"/>
      <c r="CE10" s="938"/>
      <c r="CF10" s="938"/>
      <c r="CG10" s="938"/>
      <c r="CH10" s="938"/>
      <c r="CI10" s="938"/>
      <c r="CJ10" s="938"/>
      <c r="CK10" s="938"/>
      <c r="CL10" s="938"/>
      <c r="CM10" s="938"/>
      <c r="CN10" s="938"/>
      <c r="CO10" s="938"/>
      <c r="CP10" s="938"/>
      <c r="CQ10" s="938"/>
      <c r="CR10" s="938"/>
      <c r="CS10" s="938"/>
      <c r="CT10" s="938"/>
      <c r="CU10" s="938"/>
      <c r="CV10" s="938"/>
      <c r="CW10" s="938"/>
      <c r="CX10" s="938"/>
      <c r="CY10" s="938"/>
      <c r="CZ10" s="938"/>
      <c r="DA10" s="938"/>
      <c r="DB10" s="938"/>
      <c r="DC10" s="938"/>
      <c r="DD10" s="938"/>
      <c r="DE10" s="938"/>
      <c r="DF10" s="938"/>
      <c r="DG10" s="938"/>
      <c r="DH10" s="938"/>
      <c r="DI10" s="938"/>
      <c r="DJ10" s="938"/>
      <c r="DK10" s="938"/>
      <c r="DL10" s="938"/>
      <c r="DM10" s="938"/>
      <c r="DN10" s="938"/>
      <c r="DO10" s="938"/>
      <c r="DP10" s="938"/>
      <c r="DQ10" s="938"/>
      <c r="DR10" s="938"/>
      <c r="DS10" s="938"/>
      <c r="DT10" s="938"/>
      <c r="DU10" s="938"/>
      <c r="DV10" s="938"/>
      <c r="DW10" s="938"/>
      <c r="DX10" s="938"/>
      <c r="DY10" s="938"/>
      <c r="DZ10" s="938"/>
      <c r="EA10" s="938"/>
      <c r="EB10" s="938"/>
      <c r="EC10" s="938"/>
      <c r="ED10" s="938"/>
      <c r="EE10" s="938"/>
      <c r="EF10" s="938"/>
      <c r="EG10" s="938"/>
      <c r="EH10" s="938"/>
      <c r="EI10" s="938"/>
      <c r="EJ10" s="938"/>
      <c r="EK10" s="938"/>
      <c r="EL10" s="938"/>
      <c r="EM10" s="938"/>
      <c r="EN10" s="938"/>
      <c r="EO10" s="938"/>
      <c r="EP10" s="938"/>
      <c r="EQ10" s="938"/>
      <c r="ER10" s="938"/>
      <c r="ES10" s="938"/>
      <c r="ET10" s="938"/>
      <c r="EU10" s="938"/>
      <c r="EV10" s="938"/>
      <c r="EW10" s="938"/>
      <c r="EX10" s="938"/>
      <c r="EY10" s="938"/>
      <c r="EZ10" s="938"/>
      <c r="FA10" s="938"/>
      <c r="FB10" s="938"/>
      <c r="FC10" s="938"/>
      <c r="FD10" s="938"/>
      <c r="FE10" s="938"/>
      <c r="FF10" s="938"/>
      <c r="FG10" s="938"/>
      <c r="FH10" s="938"/>
      <c r="FI10" s="938"/>
      <c r="FJ10" s="938"/>
      <c r="FK10" s="938"/>
      <c r="FL10" s="938"/>
      <c r="FM10" s="938"/>
      <c r="FN10" s="938"/>
      <c r="FO10" s="938"/>
      <c r="FP10" s="938"/>
      <c r="FQ10" s="938"/>
      <c r="FR10" s="938"/>
      <c r="FS10" s="938"/>
      <c r="FT10" s="938"/>
      <c r="FU10" s="938"/>
      <c r="FV10" s="938"/>
      <c r="FW10" s="938"/>
      <c r="FX10" s="938"/>
      <c r="FY10" s="938"/>
      <c r="FZ10" s="938"/>
      <c r="GA10" s="938"/>
      <c r="GB10" s="938"/>
      <c r="GC10" s="938"/>
      <c r="GD10" s="938"/>
      <c r="GE10" s="938"/>
      <c r="GF10" s="938"/>
      <c r="GG10" s="938"/>
      <c r="GH10" s="938"/>
      <c r="GI10" s="938"/>
      <c r="GJ10" s="938"/>
      <c r="GK10" s="938"/>
      <c r="GL10" s="938"/>
      <c r="GM10" s="938"/>
      <c r="GN10" s="938"/>
      <c r="GO10" s="938"/>
      <c r="GP10" s="938"/>
      <c r="GQ10" s="938"/>
      <c r="GR10" s="938"/>
      <c r="GS10" s="938"/>
      <c r="GT10" s="938"/>
      <c r="GU10" s="938"/>
      <c r="GV10" s="938"/>
      <c r="GW10" s="938"/>
      <c r="GX10" s="938"/>
      <c r="GY10" s="938"/>
      <c r="GZ10" s="938"/>
      <c r="HA10" s="938"/>
      <c r="HB10" s="938"/>
      <c r="HC10" s="938"/>
      <c r="HD10" s="938"/>
      <c r="HE10" s="938"/>
      <c r="HF10" s="938"/>
      <c r="HG10" s="938"/>
      <c r="HH10" s="938"/>
      <c r="HI10" s="938"/>
      <c r="HJ10" s="938"/>
      <c r="HK10" s="938"/>
      <c r="HL10" s="938"/>
      <c r="HM10" s="938"/>
      <c r="HN10" s="938"/>
      <c r="HO10" s="938"/>
      <c r="HP10" s="938"/>
      <c r="HQ10" s="938"/>
      <c r="HR10" s="938"/>
    </row>
    <row r="11" spans="1:226" s="939" customFormat="1" ht="24.95" customHeight="1">
      <c r="A11" s="1499"/>
      <c r="B11" s="1520"/>
      <c r="C11" s="1521"/>
      <c r="D11" s="1521"/>
      <c r="E11" s="940" t="s">
        <v>440</v>
      </c>
      <c r="F11" s="941">
        <f>SUM(F12:F16)</f>
        <v>1650000</v>
      </c>
      <c r="G11" s="941">
        <f>SUM(G12:G16)</f>
        <v>0</v>
      </c>
      <c r="H11" s="941">
        <f>SUM(H12:H16)</f>
        <v>0</v>
      </c>
      <c r="I11" s="941">
        <f>SUM(I12:I16)</f>
        <v>1650000</v>
      </c>
      <c r="J11" s="942">
        <f>SUM(J12:J16)</f>
        <v>0</v>
      </c>
      <c r="K11" s="938"/>
    </row>
    <row r="12" spans="1:226" s="939" customFormat="1" ht="15" customHeight="1">
      <c r="A12" s="1499"/>
      <c r="B12" s="1520"/>
      <c r="C12" s="943">
        <v>150</v>
      </c>
      <c r="D12" s="944" t="s">
        <v>346</v>
      </c>
      <c r="E12" s="944" t="s">
        <v>348</v>
      </c>
      <c r="F12" s="945">
        <f>SUM(G12:J12)</f>
        <v>1650000</v>
      </c>
      <c r="G12" s="945"/>
      <c r="H12" s="945"/>
      <c r="I12" s="945">
        <v>1650000</v>
      </c>
      <c r="J12" s="946"/>
      <c r="K12" s="938"/>
    </row>
    <row r="13" spans="1:226" s="939" customFormat="1" ht="15" hidden="1" customHeight="1">
      <c r="A13" s="1499"/>
      <c r="B13" s="1520"/>
      <c r="C13" s="943">
        <v>801</v>
      </c>
      <c r="D13" s="944" t="s">
        <v>506</v>
      </c>
      <c r="E13" s="944" t="s">
        <v>348</v>
      </c>
      <c r="F13" s="945">
        <f>SUM(G13:J13)</f>
        <v>0</v>
      </c>
      <c r="G13" s="945"/>
      <c r="H13" s="945"/>
      <c r="I13" s="945"/>
      <c r="J13" s="946"/>
      <c r="K13" s="938"/>
    </row>
    <row r="14" spans="1:226" s="939" customFormat="1" ht="15" hidden="1" customHeight="1">
      <c r="A14" s="1499"/>
      <c r="B14" s="1520"/>
      <c r="C14" s="943">
        <v>803</v>
      </c>
      <c r="D14" s="944" t="s">
        <v>539</v>
      </c>
      <c r="E14" s="944" t="s">
        <v>348</v>
      </c>
      <c r="F14" s="945">
        <f>SUM(G14:J14)</f>
        <v>0</v>
      </c>
      <c r="G14" s="945"/>
      <c r="H14" s="945"/>
      <c r="I14" s="945"/>
      <c r="J14" s="946"/>
      <c r="K14" s="938"/>
    </row>
    <row r="15" spans="1:226" s="939" customFormat="1" ht="15" hidden="1" customHeight="1">
      <c r="A15" s="1499"/>
      <c r="B15" s="1520"/>
      <c r="C15" s="943">
        <v>921</v>
      </c>
      <c r="D15" s="944" t="s">
        <v>664</v>
      </c>
      <c r="E15" s="944" t="s">
        <v>348</v>
      </c>
      <c r="F15" s="945">
        <f>SUM(G15:J15)</f>
        <v>0</v>
      </c>
      <c r="G15" s="945"/>
      <c r="H15" s="945"/>
      <c r="I15" s="945"/>
      <c r="J15" s="946"/>
      <c r="K15" s="938"/>
    </row>
    <row r="16" spans="1:226" s="939" customFormat="1" ht="15" hidden="1" customHeight="1">
      <c r="A16" s="1499"/>
      <c r="B16" s="1520"/>
      <c r="C16" s="943">
        <v>926</v>
      </c>
      <c r="D16" s="944" t="s">
        <v>938</v>
      </c>
      <c r="E16" s="944" t="s">
        <v>348</v>
      </c>
      <c r="F16" s="945">
        <f>SUM(G16:J16)</f>
        <v>0</v>
      </c>
      <c r="G16" s="945"/>
      <c r="H16" s="945"/>
      <c r="I16" s="945"/>
      <c r="J16" s="946"/>
      <c r="K16" s="938"/>
    </row>
    <row r="17" spans="1:226" s="939" customFormat="1" ht="24.95" customHeight="1">
      <c r="A17" s="1499"/>
      <c r="B17" s="1520"/>
      <c r="C17" s="1521"/>
      <c r="D17" s="1521"/>
      <c r="E17" s="947" t="s">
        <v>939</v>
      </c>
      <c r="F17" s="941">
        <f>SUM(F18:F31)</f>
        <v>20474738</v>
      </c>
      <c r="G17" s="941">
        <f>SUM(G18:G31)</f>
        <v>0</v>
      </c>
      <c r="H17" s="941">
        <f>SUM(H18:H31)</f>
        <v>0</v>
      </c>
      <c r="I17" s="941">
        <f>SUM(I18:I31)</f>
        <v>20474738</v>
      </c>
      <c r="J17" s="942">
        <f>SUM(J18:J31)</f>
        <v>0</v>
      </c>
      <c r="K17" s="938"/>
    </row>
    <row r="18" spans="1:226" s="939" customFormat="1" ht="15" customHeight="1">
      <c r="A18" s="1499"/>
      <c r="B18" s="1520"/>
      <c r="C18" s="943">
        <v>150</v>
      </c>
      <c r="D18" s="1522" t="s">
        <v>346</v>
      </c>
      <c r="E18" s="944" t="s">
        <v>350</v>
      </c>
      <c r="F18" s="945">
        <f t="shared" ref="F18:F31" si="1">SUM(G18:J18)</f>
        <v>8843000</v>
      </c>
      <c r="G18" s="945"/>
      <c r="H18" s="945"/>
      <c r="I18" s="945">
        <v>8843000</v>
      </c>
      <c r="J18" s="946"/>
      <c r="K18" s="938"/>
    </row>
    <row r="19" spans="1:226" s="939" customFormat="1" ht="15" hidden="1" customHeight="1">
      <c r="A19" s="1499"/>
      <c r="B19" s="1520"/>
      <c r="C19" s="948"/>
      <c r="D19" s="1522"/>
      <c r="E19" s="944" t="s">
        <v>940</v>
      </c>
      <c r="F19" s="945">
        <f t="shared" si="1"/>
        <v>0</v>
      </c>
      <c r="G19" s="945"/>
      <c r="H19" s="945"/>
      <c r="I19" s="945"/>
      <c r="J19" s="946"/>
      <c r="K19" s="938"/>
    </row>
    <row r="20" spans="1:226" s="939" customFormat="1" ht="15" hidden="1" customHeight="1">
      <c r="A20" s="1499"/>
      <c r="B20" s="1520"/>
      <c r="C20" s="948">
        <v>400</v>
      </c>
      <c r="D20" s="944" t="s">
        <v>355</v>
      </c>
      <c r="E20" s="944" t="s">
        <v>350</v>
      </c>
      <c r="F20" s="945">
        <f t="shared" si="1"/>
        <v>0</v>
      </c>
      <c r="G20" s="945"/>
      <c r="H20" s="945"/>
      <c r="I20" s="945"/>
      <c r="J20" s="946"/>
      <c r="K20" s="938"/>
    </row>
    <row r="21" spans="1:226" s="939" customFormat="1" ht="15" customHeight="1">
      <c r="A21" s="1499"/>
      <c r="B21" s="1520"/>
      <c r="C21" s="943">
        <v>400</v>
      </c>
      <c r="D21" s="944" t="s">
        <v>357</v>
      </c>
      <c r="E21" s="944" t="s">
        <v>350</v>
      </c>
      <c r="F21" s="945">
        <f t="shared" si="1"/>
        <v>2422844</v>
      </c>
      <c r="G21" s="945"/>
      <c r="H21" s="945"/>
      <c r="I21" s="945">
        <v>2422844</v>
      </c>
      <c r="J21" s="946"/>
      <c r="K21" s="938"/>
    </row>
    <row r="22" spans="1:226" s="939" customFormat="1" ht="15" customHeight="1">
      <c r="A22" s="1499"/>
      <c r="B22" s="1520"/>
      <c r="C22" s="943">
        <v>600</v>
      </c>
      <c r="D22" s="944" t="s">
        <v>383</v>
      </c>
      <c r="E22" s="944" t="s">
        <v>350</v>
      </c>
      <c r="F22" s="945">
        <f t="shared" si="1"/>
        <v>428997</v>
      </c>
      <c r="G22" s="945"/>
      <c r="H22" s="945"/>
      <c r="I22" s="945">
        <v>428997</v>
      </c>
      <c r="J22" s="946"/>
      <c r="K22" s="938"/>
    </row>
    <row r="23" spans="1:226" s="939" customFormat="1" ht="15" hidden="1" customHeight="1">
      <c r="A23" s="1499"/>
      <c r="B23" s="1520"/>
      <c r="C23" s="943">
        <v>720</v>
      </c>
      <c r="D23" s="944" t="s">
        <v>418</v>
      </c>
      <c r="E23" s="944" t="s">
        <v>350</v>
      </c>
      <c r="F23" s="945">
        <f t="shared" si="1"/>
        <v>0</v>
      </c>
      <c r="G23" s="945"/>
      <c r="H23" s="945"/>
      <c r="I23" s="945"/>
      <c r="J23" s="946"/>
      <c r="K23" s="938"/>
    </row>
    <row r="24" spans="1:226" s="939" customFormat="1" ht="15" hidden="1" customHeight="1">
      <c r="A24" s="1499"/>
      <c r="B24" s="1520"/>
      <c r="C24" s="943">
        <v>801</v>
      </c>
      <c r="D24" s="944" t="s">
        <v>506</v>
      </c>
      <c r="E24" s="944" t="s">
        <v>350</v>
      </c>
      <c r="F24" s="945">
        <f t="shared" si="1"/>
        <v>0</v>
      </c>
      <c r="G24" s="945"/>
      <c r="H24" s="945"/>
      <c r="I24" s="945"/>
      <c r="J24" s="946"/>
      <c r="K24" s="938"/>
      <c r="L24" s="938"/>
      <c r="M24" s="938"/>
      <c r="N24" s="938"/>
      <c r="O24" s="938"/>
      <c r="P24" s="938"/>
      <c r="Q24" s="938"/>
      <c r="R24" s="938"/>
      <c r="S24" s="938"/>
      <c r="T24" s="938"/>
      <c r="U24" s="938"/>
      <c r="V24" s="938"/>
      <c r="W24" s="938"/>
      <c r="X24" s="938"/>
      <c r="Y24" s="938"/>
      <c r="Z24" s="938"/>
      <c r="AA24" s="938"/>
      <c r="AB24" s="938"/>
      <c r="AC24" s="938"/>
      <c r="AD24" s="938"/>
      <c r="AE24" s="938"/>
      <c r="AF24" s="938"/>
      <c r="AG24" s="938"/>
      <c r="AH24" s="938"/>
      <c r="AI24" s="938"/>
      <c r="AJ24" s="938"/>
      <c r="AK24" s="938"/>
      <c r="AL24" s="938"/>
      <c r="AM24" s="938"/>
      <c r="AN24" s="938"/>
      <c r="AO24" s="938"/>
      <c r="AP24" s="938"/>
      <c r="AQ24" s="938"/>
      <c r="AR24" s="938"/>
      <c r="AS24" s="938"/>
      <c r="AT24" s="938"/>
      <c r="AU24" s="938"/>
      <c r="AV24" s="938"/>
      <c r="AW24" s="938"/>
      <c r="AX24" s="938"/>
      <c r="AY24" s="938"/>
      <c r="AZ24" s="938"/>
      <c r="BA24" s="938"/>
      <c r="BB24" s="938"/>
      <c r="BC24" s="938"/>
      <c r="BD24" s="938"/>
      <c r="BE24" s="938"/>
      <c r="BF24" s="938"/>
      <c r="BG24" s="938"/>
      <c r="BH24" s="938"/>
      <c r="BI24" s="938"/>
      <c r="BJ24" s="938"/>
      <c r="BK24" s="938"/>
      <c r="BL24" s="938"/>
      <c r="BM24" s="938"/>
      <c r="BN24" s="938"/>
      <c r="BO24" s="938"/>
      <c r="BP24" s="938"/>
      <c r="BQ24" s="938"/>
      <c r="BR24" s="938"/>
      <c r="BS24" s="938"/>
      <c r="BT24" s="938"/>
      <c r="BU24" s="938"/>
      <c r="BV24" s="938"/>
      <c r="BW24" s="938"/>
      <c r="BX24" s="938"/>
      <c r="BY24" s="938"/>
      <c r="BZ24" s="938"/>
      <c r="CA24" s="938"/>
      <c r="CB24" s="938"/>
      <c r="CC24" s="938"/>
      <c r="CD24" s="938"/>
      <c r="CE24" s="938"/>
      <c r="CF24" s="938"/>
      <c r="CG24" s="938"/>
      <c r="CH24" s="938"/>
      <c r="CI24" s="938"/>
      <c r="CJ24" s="938"/>
      <c r="CK24" s="938"/>
      <c r="CL24" s="938"/>
      <c r="CM24" s="938"/>
      <c r="CN24" s="938"/>
      <c r="CO24" s="938"/>
      <c r="CP24" s="938"/>
      <c r="CQ24" s="938"/>
      <c r="CR24" s="938"/>
      <c r="CS24" s="938"/>
      <c r="CT24" s="938"/>
      <c r="CU24" s="938"/>
      <c r="CV24" s="938"/>
      <c r="CW24" s="938"/>
      <c r="CX24" s="938"/>
      <c r="CY24" s="938"/>
      <c r="CZ24" s="938"/>
      <c r="DA24" s="938"/>
      <c r="DB24" s="938"/>
      <c r="DC24" s="938"/>
      <c r="DD24" s="938"/>
      <c r="DE24" s="938"/>
      <c r="DF24" s="938"/>
      <c r="DG24" s="938"/>
      <c r="DH24" s="938"/>
      <c r="DI24" s="938"/>
      <c r="DJ24" s="938"/>
      <c r="DK24" s="938"/>
      <c r="DL24" s="938"/>
      <c r="DM24" s="938"/>
      <c r="DN24" s="938"/>
      <c r="DO24" s="938"/>
      <c r="DP24" s="938"/>
      <c r="DQ24" s="938"/>
      <c r="DR24" s="938"/>
      <c r="DS24" s="938"/>
      <c r="DT24" s="938"/>
      <c r="DU24" s="938"/>
      <c r="DV24" s="938"/>
      <c r="DW24" s="938"/>
      <c r="DX24" s="938"/>
      <c r="DY24" s="938"/>
      <c r="DZ24" s="938"/>
      <c r="EA24" s="938"/>
      <c r="EB24" s="938"/>
      <c r="EC24" s="938"/>
      <c r="ED24" s="938"/>
      <c r="EE24" s="938"/>
      <c r="EF24" s="938"/>
      <c r="EG24" s="938"/>
      <c r="EH24" s="938"/>
      <c r="EI24" s="938"/>
      <c r="EJ24" s="938"/>
      <c r="EK24" s="938"/>
      <c r="EL24" s="938"/>
      <c r="EM24" s="938"/>
      <c r="EN24" s="938"/>
      <c r="EO24" s="938"/>
      <c r="EP24" s="938"/>
      <c r="EQ24" s="938"/>
      <c r="ER24" s="938"/>
      <c r="ES24" s="938"/>
      <c r="ET24" s="938"/>
      <c r="EU24" s="938"/>
      <c r="EV24" s="938"/>
      <c r="EW24" s="938"/>
      <c r="EX24" s="938"/>
      <c r="EY24" s="938"/>
      <c r="EZ24" s="938"/>
      <c r="FA24" s="938"/>
      <c r="FB24" s="938"/>
      <c r="FC24" s="938"/>
      <c r="FD24" s="938"/>
      <c r="FE24" s="938"/>
      <c r="FF24" s="938"/>
      <c r="FG24" s="938"/>
      <c r="FH24" s="938"/>
      <c r="FI24" s="938"/>
      <c r="FJ24" s="938"/>
      <c r="FK24" s="938"/>
      <c r="FL24" s="938"/>
      <c r="FM24" s="938"/>
      <c r="FN24" s="938"/>
      <c r="FO24" s="938"/>
      <c r="FP24" s="938"/>
      <c r="FQ24" s="938"/>
      <c r="FR24" s="938"/>
      <c r="FS24" s="938"/>
      <c r="FT24" s="938"/>
      <c r="FU24" s="938"/>
      <c r="FV24" s="938"/>
      <c r="FW24" s="938"/>
      <c r="FX24" s="938"/>
      <c r="FY24" s="938"/>
      <c r="FZ24" s="938"/>
      <c r="GA24" s="938"/>
      <c r="GB24" s="938"/>
      <c r="GC24" s="938"/>
      <c r="GD24" s="938"/>
      <c r="GE24" s="938"/>
      <c r="GF24" s="938"/>
      <c r="GG24" s="938"/>
      <c r="GH24" s="938"/>
      <c r="GI24" s="938"/>
      <c r="GJ24" s="938"/>
      <c r="GK24" s="938"/>
      <c r="GL24" s="938"/>
      <c r="GM24" s="938"/>
      <c r="GN24" s="938"/>
      <c r="GO24" s="938"/>
      <c r="GP24" s="938"/>
      <c r="GQ24" s="938"/>
      <c r="GR24" s="938"/>
      <c r="GS24" s="938"/>
      <c r="GT24" s="938"/>
      <c r="GU24" s="938"/>
      <c r="GV24" s="938"/>
      <c r="GW24" s="938"/>
      <c r="GX24" s="938"/>
      <c r="GY24" s="938"/>
      <c r="GZ24" s="938"/>
      <c r="HA24" s="938"/>
      <c r="HB24" s="938"/>
      <c r="HC24" s="938"/>
      <c r="HD24" s="938"/>
      <c r="HE24" s="938"/>
      <c r="HF24" s="938"/>
      <c r="HG24" s="938"/>
      <c r="HH24" s="938"/>
      <c r="HI24" s="938"/>
      <c r="HJ24" s="938"/>
      <c r="HK24" s="938"/>
      <c r="HL24" s="938"/>
      <c r="HM24" s="938"/>
      <c r="HN24" s="938"/>
      <c r="HO24" s="938"/>
      <c r="HP24" s="938"/>
      <c r="HQ24" s="938"/>
      <c r="HR24" s="938"/>
    </row>
    <row r="25" spans="1:226" s="939" customFormat="1" ht="15" customHeight="1">
      <c r="A25" s="1499"/>
      <c r="B25" s="1520"/>
      <c r="C25" s="943">
        <v>803</v>
      </c>
      <c r="D25" s="944" t="s">
        <v>539</v>
      </c>
      <c r="E25" s="944" t="s">
        <v>350</v>
      </c>
      <c r="F25" s="945">
        <f t="shared" si="1"/>
        <v>2165653</v>
      </c>
      <c r="G25" s="945"/>
      <c r="H25" s="945"/>
      <c r="I25" s="945">
        <v>2165653</v>
      </c>
      <c r="J25" s="946"/>
      <c r="K25" s="938"/>
    </row>
    <row r="26" spans="1:226" s="939" customFormat="1" ht="15" hidden="1" customHeight="1">
      <c r="A26" s="1499"/>
      <c r="B26" s="1520"/>
      <c r="C26" s="943">
        <v>851</v>
      </c>
      <c r="D26" s="944" t="s">
        <v>941</v>
      </c>
      <c r="E26" s="944" t="s">
        <v>940</v>
      </c>
      <c r="F26" s="945">
        <f t="shared" si="1"/>
        <v>0</v>
      </c>
      <c r="G26" s="945"/>
      <c r="H26" s="945"/>
      <c r="I26" s="945"/>
      <c r="J26" s="946"/>
      <c r="K26" s="938"/>
    </row>
    <row r="27" spans="1:226" s="939" customFormat="1" ht="15" customHeight="1">
      <c r="A27" s="1499"/>
      <c r="B27" s="1520"/>
      <c r="C27" s="1521">
        <v>921</v>
      </c>
      <c r="D27" s="944" t="s">
        <v>653</v>
      </c>
      <c r="E27" s="944" t="s">
        <v>350</v>
      </c>
      <c r="F27" s="945">
        <f t="shared" si="1"/>
        <v>3215585</v>
      </c>
      <c r="G27" s="945"/>
      <c r="H27" s="945"/>
      <c r="I27" s="945">
        <v>3215585</v>
      </c>
      <c r="J27" s="946"/>
      <c r="K27" s="938"/>
    </row>
    <row r="28" spans="1:226" s="939" customFormat="1" ht="15" customHeight="1">
      <c r="A28" s="1499"/>
      <c r="B28" s="1520"/>
      <c r="C28" s="1521"/>
      <c r="D28" s="1522" t="s">
        <v>4</v>
      </c>
      <c r="E28" s="944" t="s">
        <v>350</v>
      </c>
      <c r="F28" s="945">
        <f t="shared" si="1"/>
        <v>1170672</v>
      </c>
      <c r="G28" s="945"/>
      <c r="H28" s="945"/>
      <c r="I28" s="945">
        <v>1170672</v>
      </c>
      <c r="J28" s="946"/>
      <c r="K28" s="938"/>
    </row>
    <row r="29" spans="1:226" s="939" customFormat="1" ht="15" hidden="1" customHeight="1">
      <c r="A29" s="1499"/>
      <c r="B29" s="1520"/>
      <c r="C29" s="1521"/>
      <c r="D29" s="1522"/>
      <c r="E29" s="944" t="s">
        <v>940</v>
      </c>
      <c r="F29" s="945">
        <f t="shared" si="1"/>
        <v>0</v>
      </c>
      <c r="G29" s="945"/>
      <c r="H29" s="945"/>
      <c r="I29" s="945"/>
      <c r="J29" s="946"/>
      <c r="K29" s="938"/>
    </row>
    <row r="30" spans="1:226" s="939" customFormat="1" ht="15" customHeight="1">
      <c r="A30" s="1499"/>
      <c r="B30" s="1520"/>
      <c r="C30" s="1521"/>
      <c r="D30" s="944" t="s">
        <v>664</v>
      </c>
      <c r="E30" s="944" t="s">
        <v>350</v>
      </c>
      <c r="F30" s="945">
        <f t="shared" si="1"/>
        <v>2227987</v>
      </c>
      <c r="G30" s="945"/>
      <c r="H30" s="945"/>
      <c r="I30" s="945">
        <v>2227987</v>
      </c>
      <c r="J30" s="946"/>
      <c r="K30" s="938"/>
    </row>
    <row r="31" spans="1:226" s="939" customFormat="1" ht="15" hidden="1" customHeight="1">
      <c r="A31" s="1499"/>
      <c r="B31" s="1520"/>
      <c r="C31" s="943">
        <v>926</v>
      </c>
      <c r="D31" s="944" t="s">
        <v>938</v>
      </c>
      <c r="E31" s="944" t="s">
        <v>350</v>
      </c>
      <c r="F31" s="945">
        <f t="shared" si="1"/>
        <v>0</v>
      </c>
      <c r="G31" s="945"/>
      <c r="H31" s="945"/>
      <c r="I31" s="945"/>
      <c r="J31" s="946"/>
      <c r="K31" s="938"/>
    </row>
    <row r="32" spans="1:226" s="939" customFormat="1" ht="24.95" hidden="1" customHeight="1">
      <c r="A32" s="1499"/>
      <c r="B32" s="1520" t="s">
        <v>942</v>
      </c>
      <c r="C32" s="1521">
        <v>600</v>
      </c>
      <c r="D32" s="1522" t="s">
        <v>6</v>
      </c>
      <c r="E32" s="935" t="s">
        <v>937</v>
      </c>
      <c r="F32" s="936">
        <f>SUM(F33,F40)</f>
        <v>0</v>
      </c>
      <c r="G32" s="936">
        <f>SUM(G33,G40)</f>
        <v>0</v>
      </c>
      <c r="H32" s="936">
        <f>SUM(H33,H40)</f>
        <v>0</v>
      </c>
      <c r="I32" s="936">
        <f>SUM(I33,I40)</f>
        <v>0</v>
      </c>
      <c r="J32" s="937">
        <f>SUM(J33,J40)</f>
        <v>0</v>
      </c>
      <c r="K32" s="938"/>
    </row>
    <row r="33" spans="1:226" s="939" customFormat="1" ht="24.95" hidden="1" customHeight="1">
      <c r="A33" s="1499"/>
      <c r="B33" s="1520"/>
      <c r="C33" s="1521"/>
      <c r="D33" s="1522"/>
      <c r="E33" s="940" t="s">
        <v>943</v>
      </c>
      <c r="F33" s="941">
        <f>SUM(F34,F37)</f>
        <v>0</v>
      </c>
      <c r="G33" s="941">
        <f>SUM(G34,G37)</f>
        <v>0</v>
      </c>
      <c r="H33" s="941">
        <f>SUM(H34,H37)</f>
        <v>0</v>
      </c>
      <c r="I33" s="941">
        <f>SUM(I34,I37)</f>
        <v>0</v>
      </c>
      <c r="J33" s="942">
        <f>SUM(J34,J37)</f>
        <v>0</v>
      </c>
      <c r="K33" s="938"/>
    </row>
    <row r="34" spans="1:226" s="939" customFormat="1" ht="24.95" hidden="1" customHeight="1">
      <c r="A34" s="1499"/>
      <c r="B34" s="1520"/>
      <c r="C34" s="1521"/>
      <c r="D34" s="1522"/>
      <c r="E34" s="949" t="s">
        <v>944</v>
      </c>
      <c r="F34" s="950">
        <f>SUM(F35:F36)</f>
        <v>0</v>
      </c>
      <c r="G34" s="950">
        <f>SUM(G35:G36)</f>
        <v>0</v>
      </c>
      <c r="H34" s="950">
        <f>SUM(H35:H36)</f>
        <v>0</v>
      </c>
      <c r="I34" s="950">
        <f>SUM(I35:I36)</f>
        <v>0</v>
      </c>
      <c r="J34" s="951">
        <f>SUM(J35:J36)</f>
        <v>0</v>
      </c>
      <c r="K34" s="938"/>
    </row>
    <row r="35" spans="1:226" s="939" customFormat="1" ht="15" hidden="1" customHeight="1">
      <c r="A35" s="1499"/>
      <c r="B35" s="1520"/>
      <c r="C35" s="1521"/>
      <c r="D35" s="1522"/>
      <c r="E35" s="952"/>
      <c r="F35" s="945">
        <f>SUM(G35:J35)</f>
        <v>0</v>
      </c>
      <c r="G35" s="945"/>
      <c r="H35" s="945"/>
      <c r="I35" s="945"/>
      <c r="J35" s="946"/>
      <c r="K35" s="938"/>
    </row>
    <row r="36" spans="1:226" s="939" customFormat="1" ht="15" hidden="1" customHeight="1">
      <c r="A36" s="1499"/>
      <c r="B36" s="1520"/>
      <c r="C36" s="1521"/>
      <c r="D36" s="1522"/>
      <c r="E36" s="952"/>
      <c r="F36" s="945">
        <f>SUM(G36:J36)</f>
        <v>0</v>
      </c>
      <c r="G36" s="945"/>
      <c r="H36" s="945"/>
      <c r="I36" s="945"/>
      <c r="J36" s="946"/>
      <c r="K36" s="938"/>
      <c r="L36" s="938"/>
      <c r="M36" s="938"/>
      <c r="N36" s="938"/>
      <c r="O36" s="938"/>
      <c r="P36" s="938"/>
      <c r="Q36" s="938"/>
      <c r="R36" s="938"/>
      <c r="S36" s="938"/>
      <c r="T36" s="938"/>
      <c r="U36" s="938"/>
      <c r="V36" s="938"/>
      <c r="W36" s="938"/>
      <c r="X36" s="938"/>
      <c r="Y36" s="938"/>
      <c r="Z36" s="938"/>
      <c r="AA36" s="938"/>
      <c r="AB36" s="938"/>
      <c r="AC36" s="938"/>
      <c r="AD36" s="938"/>
      <c r="AE36" s="938"/>
      <c r="AF36" s="938"/>
      <c r="AG36" s="938"/>
      <c r="AH36" s="938"/>
      <c r="AI36" s="938"/>
      <c r="AJ36" s="938"/>
      <c r="AK36" s="938"/>
      <c r="AL36" s="938"/>
      <c r="AM36" s="938"/>
      <c r="AN36" s="938"/>
      <c r="AO36" s="938"/>
      <c r="AP36" s="938"/>
      <c r="AQ36" s="938"/>
      <c r="AR36" s="938"/>
      <c r="AS36" s="938"/>
      <c r="AT36" s="938"/>
      <c r="AU36" s="938"/>
      <c r="AV36" s="938"/>
      <c r="AW36" s="938"/>
      <c r="AX36" s="938"/>
      <c r="AY36" s="938"/>
      <c r="AZ36" s="938"/>
      <c r="BA36" s="938"/>
      <c r="BB36" s="938"/>
      <c r="BC36" s="938"/>
      <c r="BD36" s="938"/>
      <c r="BE36" s="938"/>
      <c r="BF36" s="938"/>
      <c r="BG36" s="938"/>
      <c r="BH36" s="938"/>
      <c r="BI36" s="938"/>
      <c r="BJ36" s="938"/>
      <c r="BK36" s="938"/>
      <c r="BL36" s="938"/>
      <c r="BM36" s="938"/>
      <c r="BN36" s="938"/>
      <c r="BO36" s="938"/>
      <c r="BP36" s="938"/>
      <c r="BQ36" s="938"/>
      <c r="BR36" s="938"/>
      <c r="BS36" s="938"/>
      <c r="BT36" s="938"/>
      <c r="BU36" s="938"/>
      <c r="BV36" s="938"/>
      <c r="BW36" s="938"/>
      <c r="BX36" s="938"/>
      <c r="BY36" s="938"/>
      <c r="BZ36" s="938"/>
      <c r="CA36" s="938"/>
      <c r="CB36" s="938"/>
      <c r="CC36" s="938"/>
      <c r="CD36" s="938"/>
      <c r="CE36" s="938"/>
      <c r="CF36" s="938"/>
      <c r="CG36" s="938"/>
      <c r="CH36" s="938"/>
      <c r="CI36" s="938"/>
      <c r="CJ36" s="938"/>
      <c r="CK36" s="938"/>
      <c r="CL36" s="938"/>
      <c r="CM36" s="938"/>
      <c r="CN36" s="938"/>
      <c r="CO36" s="938"/>
      <c r="CP36" s="938"/>
      <c r="CQ36" s="938"/>
      <c r="CR36" s="938"/>
      <c r="CS36" s="938"/>
      <c r="CT36" s="938"/>
      <c r="CU36" s="938"/>
      <c r="CV36" s="938"/>
      <c r="CW36" s="938"/>
      <c r="CX36" s="938"/>
      <c r="CY36" s="938"/>
      <c r="CZ36" s="938"/>
      <c r="DA36" s="938"/>
      <c r="DB36" s="938"/>
      <c r="DC36" s="938"/>
      <c r="DD36" s="938"/>
      <c r="DE36" s="938"/>
      <c r="DF36" s="938"/>
      <c r="DG36" s="938"/>
      <c r="DH36" s="938"/>
      <c r="DI36" s="938"/>
      <c r="DJ36" s="938"/>
      <c r="DK36" s="938"/>
      <c r="DL36" s="938"/>
      <c r="DM36" s="938"/>
      <c r="DN36" s="938"/>
      <c r="DO36" s="938"/>
      <c r="DP36" s="938"/>
      <c r="DQ36" s="938"/>
      <c r="DR36" s="938"/>
      <c r="DS36" s="938"/>
      <c r="DT36" s="938"/>
      <c r="DU36" s="938"/>
      <c r="DV36" s="938"/>
      <c r="DW36" s="938"/>
      <c r="DX36" s="938"/>
      <c r="DY36" s="938"/>
      <c r="DZ36" s="938"/>
      <c r="EA36" s="938"/>
      <c r="EB36" s="938"/>
      <c r="EC36" s="938"/>
      <c r="ED36" s="938"/>
      <c r="EE36" s="938"/>
      <c r="EF36" s="938"/>
      <c r="EG36" s="938"/>
      <c r="EH36" s="938"/>
      <c r="EI36" s="938"/>
      <c r="EJ36" s="938"/>
      <c r="EK36" s="938"/>
      <c r="EL36" s="938"/>
      <c r="EM36" s="938"/>
      <c r="EN36" s="938"/>
      <c r="EO36" s="938"/>
      <c r="EP36" s="938"/>
      <c r="EQ36" s="938"/>
      <c r="ER36" s="938"/>
      <c r="ES36" s="938"/>
      <c r="ET36" s="938"/>
      <c r="EU36" s="938"/>
      <c r="EV36" s="938"/>
      <c r="EW36" s="938"/>
      <c r="EX36" s="938"/>
      <c r="EY36" s="938"/>
      <c r="EZ36" s="938"/>
      <c r="FA36" s="938"/>
      <c r="FB36" s="938"/>
      <c r="FC36" s="938"/>
      <c r="FD36" s="938"/>
      <c r="FE36" s="938"/>
      <c r="FF36" s="938"/>
      <c r="FG36" s="938"/>
      <c r="FH36" s="938"/>
      <c r="FI36" s="938"/>
      <c r="FJ36" s="938"/>
      <c r="FK36" s="938"/>
      <c r="FL36" s="938"/>
      <c r="FM36" s="938"/>
      <c r="FN36" s="938"/>
      <c r="FO36" s="938"/>
      <c r="FP36" s="938"/>
      <c r="FQ36" s="938"/>
      <c r="FR36" s="938"/>
      <c r="FS36" s="938"/>
      <c r="FT36" s="938"/>
      <c r="FU36" s="938"/>
      <c r="FV36" s="938"/>
      <c r="FW36" s="938"/>
      <c r="FX36" s="938"/>
      <c r="FY36" s="938"/>
      <c r="FZ36" s="938"/>
      <c r="GA36" s="938"/>
      <c r="GB36" s="938"/>
      <c r="GC36" s="938"/>
      <c r="GD36" s="938"/>
      <c r="GE36" s="938"/>
      <c r="GF36" s="938"/>
      <c r="GG36" s="938"/>
      <c r="GH36" s="938"/>
      <c r="GI36" s="938"/>
      <c r="GJ36" s="938"/>
      <c r="GK36" s="938"/>
      <c r="GL36" s="938"/>
      <c r="GM36" s="938"/>
      <c r="GN36" s="938"/>
      <c r="GO36" s="938"/>
      <c r="GP36" s="938"/>
      <c r="GQ36" s="938"/>
      <c r="GR36" s="938"/>
      <c r="GS36" s="938"/>
      <c r="GT36" s="938"/>
      <c r="GU36" s="938"/>
      <c r="GV36" s="938"/>
      <c r="GW36" s="938"/>
      <c r="GX36" s="938"/>
      <c r="GY36" s="938"/>
      <c r="GZ36" s="938"/>
      <c r="HA36" s="938"/>
      <c r="HB36" s="938"/>
      <c r="HC36" s="938"/>
      <c r="HD36" s="938"/>
      <c r="HE36" s="938"/>
      <c r="HF36" s="938"/>
      <c r="HG36" s="938"/>
      <c r="HH36" s="938"/>
      <c r="HI36" s="938"/>
      <c r="HJ36" s="938"/>
      <c r="HK36" s="938"/>
      <c r="HL36" s="938"/>
      <c r="HM36" s="938"/>
      <c r="HN36" s="938"/>
      <c r="HO36" s="938"/>
      <c r="HP36" s="938"/>
      <c r="HQ36" s="938"/>
      <c r="HR36" s="938"/>
    </row>
    <row r="37" spans="1:226" s="939" customFormat="1" ht="24.95" hidden="1" customHeight="1">
      <c r="A37" s="1499"/>
      <c r="B37" s="1520"/>
      <c r="C37" s="1521"/>
      <c r="D37" s="1522"/>
      <c r="E37" s="949" t="s">
        <v>945</v>
      </c>
      <c r="F37" s="950">
        <f>SUM(F38:F39)</f>
        <v>0</v>
      </c>
      <c r="G37" s="950">
        <f>SUM(G38:G39)</f>
        <v>0</v>
      </c>
      <c r="H37" s="950">
        <f>SUM(H38:H39)</f>
        <v>0</v>
      </c>
      <c r="I37" s="950">
        <f>SUM(I38:I39)</f>
        <v>0</v>
      </c>
      <c r="J37" s="951">
        <f>SUM(J38:J39)</f>
        <v>0</v>
      </c>
      <c r="K37" s="938"/>
    </row>
    <row r="38" spans="1:226" s="939" customFormat="1" ht="15" hidden="1" customHeight="1">
      <c r="A38" s="1499"/>
      <c r="B38" s="1520"/>
      <c r="C38" s="1521"/>
      <c r="D38" s="1522"/>
      <c r="E38" s="944"/>
      <c r="F38" s="945">
        <f>SUM(G38:J38)</f>
        <v>0</v>
      </c>
      <c r="G38" s="945"/>
      <c r="H38" s="945"/>
      <c r="I38" s="945"/>
      <c r="J38" s="946"/>
      <c r="K38" s="938"/>
    </row>
    <row r="39" spans="1:226" s="939" customFormat="1" ht="15" hidden="1" customHeight="1">
      <c r="A39" s="1499"/>
      <c r="B39" s="1520"/>
      <c r="C39" s="1521"/>
      <c r="D39" s="1522"/>
      <c r="E39" s="944"/>
      <c r="F39" s="945">
        <f>SUM(G39:J39)</f>
        <v>0</v>
      </c>
      <c r="G39" s="945"/>
      <c r="H39" s="945"/>
      <c r="I39" s="945"/>
      <c r="J39" s="946"/>
      <c r="K39" s="938"/>
    </row>
    <row r="40" spans="1:226" s="939" customFormat="1" ht="24.95" hidden="1" customHeight="1">
      <c r="A40" s="1499"/>
      <c r="B40" s="1520"/>
      <c r="C40" s="1521"/>
      <c r="D40" s="1522"/>
      <c r="E40" s="947" t="s">
        <v>939</v>
      </c>
      <c r="F40" s="941">
        <f>SUM(F41:F42)</f>
        <v>0</v>
      </c>
      <c r="G40" s="941">
        <f>SUM(G41:G42)</f>
        <v>0</v>
      </c>
      <c r="H40" s="941">
        <f>SUM(H41:H42)</f>
        <v>0</v>
      </c>
      <c r="I40" s="941">
        <f>SUM(I41:I42)</f>
        <v>0</v>
      </c>
      <c r="J40" s="942">
        <f>SUM(J41:J42)</f>
        <v>0</v>
      </c>
      <c r="K40" s="938"/>
    </row>
    <row r="41" spans="1:226" s="939" customFormat="1" ht="15" hidden="1" customHeight="1">
      <c r="A41" s="1499"/>
      <c r="B41" s="1520"/>
      <c r="C41" s="1521"/>
      <c r="D41" s="1522"/>
      <c r="E41" s="944"/>
      <c r="F41" s="945">
        <f>SUM(G41:J41)</f>
        <v>0</v>
      </c>
      <c r="G41" s="945"/>
      <c r="H41" s="945"/>
      <c r="I41" s="945"/>
      <c r="J41" s="946"/>
      <c r="K41" s="938"/>
    </row>
    <row r="42" spans="1:226" s="939" customFormat="1" ht="15" hidden="1" customHeight="1">
      <c r="A42" s="1499"/>
      <c r="B42" s="1520"/>
      <c r="C42" s="1521"/>
      <c r="D42" s="1522"/>
      <c r="E42" s="953"/>
      <c r="F42" s="945">
        <f>SUM(G42:J42)</f>
        <v>0</v>
      </c>
      <c r="G42" s="945"/>
      <c r="H42" s="945"/>
      <c r="I42" s="945"/>
      <c r="J42" s="946"/>
      <c r="K42" s="938"/>
    </row>
    <row r="43" spans="1:226" s="939" customFormat="1" ht="24.95" hidden="1" customHeight="1">
      <c r="A43" s="1499"/>
      <c r="B43" s="1520" t="s">
        <v>946</v>
      </c>
      <c r="C43" s="1521">
        <v>720</v>
      </c>
      <c r="D43" s="1522" t="s">
        <v>418</v>
      </c>
      <c r="E43" s="935" t="s">
        <v>937</v>
      </c>
      <c r="F43" s="936">
        <f>SUM(F44,F51)</f>
        <v>0</v>
      </c>
      <c r="G43" s="936">
        <f>SUM(G44,G51)</f>
        <v>0</v>
      </c>
      <c r="H43" s="936">
        <f>SUM(H44,H51)</f>
        <v>0</v>
      </c>
      <c r="I43" s="936">
        <f>SUM(I44,I51)</f>
        <v>0</v>
      </c>
      <c r="J43" s="937">
        <f>SUM(J44,J51)</f>
        <v>0</v>
      </c>
      <c r="K43" s="938"/>
    </row>
    <row r="44" spans="1:226" s="939" customFormat="1" ht="24.95" hidden="1" customHeight="1">
      <c r="A44" s="1499"/>
      <c r="B44" s="1520"/>
      <c r="C44" s="1521"/>
      <c r="D44" s="1522"/>
      <c r="E44" s="940" t="s">
        <v>440</v>
      </c>
      <c r="F44" s="941">
        <f>SUM(F45,F48)</f>
        <v>0</v>
      </c>
      <c r="G44" s="941">
        <f>SUM(G45,G48)</f>
        <v>0</v>
      </c>
      <c r="H44" s="941">
        <f>SUM(H45,H48)</f>
        <v>0</v>
      </c>
      <c r="I44" s="941">
        <f>SUM(I45,I48)</f>
        <v>0</v>
      </c>
      <c r="J44" s="942">
        <f>SUM(J45,J48)</f>
        <v>0</v>
      </c>
      <c r="K44" s="938"/>
    </row>
    <row r="45" spans="1:226" s="939" customFormat="1" ht="24.95" hidden="1" customHeight="1">
      <c r="A45" s="1499"/>
      <c r="B45" s="1520"/>
      <c r="C45" s="1521"/>
      <c r="D45" s="1522"/>
      <c r="E45" s="949" t="s">
        <v>944</v>
      </c>
      <c r="F45" s="950">
        <f>SUM(F46:F47)</f>
        <v>0</v>
      </c>
      <c r="G45" s="950">
        <f>SUM(G46:G47)</f>
        <v>0</v>
      </c>
      <c r="H45" s="950">
        <f>SUM(H46:H47)</f>
        <v>0</v>
      </c>
      <c r="I45" s="950">
        <f>SUM(I46:I47)</f>
        <v>0</v>
      </c>
      <c r="J45" s="951">
        <f>SUM(J46:J47)</f>
        <v>0</v>
      </c>
      <c r="K45" s="938"/>
    </row>
    <row r="46" spans="1:226" s="939" customFormat="1" ht="15" hidden="1" customHeight="1">
      <c r="A46" s="1499"/>
      <c r="B46" s="1520"/>
      <c r="C46" s="1521"/>
      <c r="D46" s="1522"/>
      <c r="E46" s="952"/>
      <c r="F46" s="945">
        <f>SUM(G46:J46)</f>
        <v>0</v>
      </c>
      <c r="G46" s="945"/>
      <c r="H46" s="945"/>
      <c r="I46" s="945"/>
      <c r="J46" s="946"/>
      <c r="K46" s="938"/>
    </row>
    <row r="47" spans="1:226" s="939" customFormat="1" ht="15" hidden="1" customHeight="1">
      <c r="A47" s="1499"/>
      <c r="B47" s="1520"/>
      <c r="C47" s="1521"/>
      <c r="D47" s="1522"/>
      <c r="E47" s="952"/>
      <c r="F47" s="945">
        <f>SUM(G47:J47)</f>
        <v>0</v>
      </c>
      <c r="G47" s="945"/>
      <c r="H47" s="945"/>
      <c r="I47" s="945"/>
      <c r="J47" s="946"/>
      <c r="K47" s="938"/>
    </row>
    <row r="48" spans="1:226" s="939" customFormat="1" ht="24.95" hidden="1" customHeight="1">
      <c r="A48" s="1499"/>
      <c r="B48" s="1520"/>
      <c r="C48" s="1521"/>
      <c r="D48" s="1522"/>
      <c r="E48" s="949" t="s">
        <v>945</v>
      </c>
      <c r="F48" s="950">
        <f>SUM(F49:F50)</f>
        <v>0</v>
      </c>
      <c r="G48" s="950">
        <f>SUM(G49:G50)</f>
        <v>0</v>
      </c>
      <c r="H48" s="950">
        <f>SUM(H49:H50)</f>
        <v>0</v>
      </c>
      <c r="I48" s="950">
        <f>SUM(I49:I50)</f>
        <v>0</v>
      </c>
      <c r="J48" s="951">
        <f>SUM(J49:J50)</f>
        <v>0</v>
      </c>
      <c r="K48" s="938"/>
      <c r="L48" s="938"/>
      <c r="M48" s="938"/>
      <c r="N48" s="938"/>
      <c r="O48" s="938"/>
      <c r="P48" s="938"/>
      <c r="Q48" s="938"/>
      <c r="R48" s="938"/>
      <c r="S48" s="938"/>
      <c r="T48" s="938"/>
      <c r="U48" s="938"/>
      <c r="V48" s="938"/>
      <c r="W48" s="938"/>
      <c r="X48" s="938"/>
      <c r="Y48" s="938"/>
      <c r="Z48" s="938"/>
      <c r="AA48" s="938"/>
      <c r="AB48" s="938"/>
      <c r="AC48" s="938"/>
      <c r="AD48" s="938"/>
      <c r="AE48" s="938"/>
      <c r="AF48" s="938"/>
      <c r="AG48" s="938"/>
      <c r="AH48" s="938"/>
      <c r="AI48" s="938"/>
      <c r="AJ48" s="938"/>
      <c r="AK48" s="938"/>
      <c r="AL48" s="938"/>
      <c r="AM48" s="938"/>
      <c r="AN48" s="938"/>
      <c r="AO48" s="938"/>
      <c r="AP48" s="938"/>
      <c r="AQ48" s="938"/>
      <c r="AR48" s="938"/>
      <c r="AS48" s="938"/>
      <c r="AT48" s="938"/>
      <c r="AU48" s="938"/>
      <c r="AV48" s="938"/>
      <c r="AW48" s="938"/>
      <c r="AX48" s="938"/>
      <c r="AY48" s="938"/>
      <c r="AZ48" s="938"/>
      <c r="BA48" s="938"/>
      <c r="BB48" s="938"/>
      <c r="BC48" s="938"/>
      <c r="BD48" s="938"/>
      <c r="BE48" s="938"/>
      <c r="BF48" s="938"/>
      <c r="BG48" s="938"/>
      <c r="BH48" s="938"/>
      <c r="BI48" s="938"/>
      <c r="BJ48" s="938"/>
      <c r="BK48" s="938"/>
      <c r="BL48" s="938"/>
      <c r="BM48" s="938"/>
      <c r="BN48" s="938"/>
      <c r="BO48" s="938"/>
      <c r="BP48" s="938"/>
      <c r="BQ48" s="938"/>
      <c r="BR48" s="938"/>
      <c r="BS48" s="938"/>
      <c r="BT48" s="938"/>
      <c r="BU48" s="938"/>
      <c r="BV48" s="938"/>
      <c r="BW48" s="938"/>
      <c r="BX48" s="938"/>
      <c r="BY48" s="938"/>
      <c r="BZ48" s="938"/>
      <c r="CA48" s="938"/>
      <c r="CB48" s="938"/>
      <c r="CC48" s="938"/>
      <c r="CD48" s="938"/>
      <c r="CE48" s="938"/>
      <c r="CF48" s="938"/>
      <c r="CG48" s="938"/>
      <c r="CH48" s="938"/>
      <c r="CI48" s="938"/>
      <c r="CJ48" s="938"/>
      <c r="CK48" s="938"/>
      <c r="CL48" s="938"/>
      <c r="CM48" s="938"/>
      <c r="CN48" s="938"/>
      <c r="CO48" s="938"/>
      <c r="CP48" s="938"/>
      <c r="CQ48" s="938"/>
      <c r="CR48" s="938"/>
      <c r="CS48" s="938"/>
      <c r="CT48" s="938"/>
      <c r="CU48" s="938"/>
      <c r="CV48" s="938"/>
      <c r="CW48" s="938"/>
      <c r="CX48" s="938"/>
      <c r="CY48" s="938"/>
      <c r="CZ48" s="938"/>
      <c r="DA48" s="938"/>
      <c r="DB48" s="938"/>
      <c r="DC48" s="938"/>
      <c r="DD48" s="938"/>
      <c r="DE48" s="938"/>
      <c r="DF48" s="938"/>
      <c r="DG48" s="938"/>
      <c r="DH48" s="938"/>
      <c r="DI48" s="938"/>
      <c r="DJ48" s="938"/>
      <c r="DK48" s="938"/>
      <c r="DL48" s="938"/>
      <c r="DM48" s="938"/>
      <c r="DN48" s="938"/>
      <c r="DO48" s="938"/>
      <c r="DP48" s="938"/>
      <c r="DQ48" s="938"/>
      <c r="DR48" s="938"/>
      <c r="DS48" s="938"/>
      <c r="DT48" s="938"/>
      <c r="DU48" s="938"/>
      <c r="DV48" s="938"/>
      <c r="DW48" s="938"/>
      <c r="DX48" s="938"/>
      <c r="DY48" s="938"/>
      <c r="DZ48" s="938"/>
      <c r="EA48" s="938"/>
      <c r="EB48" s="938"/>
      <c r="EC48" s="938"/>
      <c r="ED48" s="938"/>
      <c r="EE48" s="938"/>
      <c r="EF48" s="938"/>
      <c r="EG48" s="938"/>
      <c r="EH48" s="938"/>
      <c r="EI48" s="938"/>
      <c r="EJ48" s="938"/>
      <c r="EK48" s="938"/>
      <c r="EL48" s="938"/>
      <c r="EM48" s="938"/>
      <c r="EN48" s="938"/>
      <c r="EO48" s="938"/>
      <c r="EP48" s="938"/>
      <c r="EQ48" s="938"/>
      <c r="ER48" s="938"/>
      <c r="ES48" s="938"/>
      <c r="ET48" s="938"/>
      <c r="EU48" s="938"/>
      <c r="EV48" s="938"/>
      <c r="EW48" s="938"/>
      <c r="EX48" s="938"/>
      <c r="EY48" s="938"/>
      <c r="EZ48" s="938"/>
      <c r="FA48" s="938"/>
      <c r="FB48" s="938"/>
      <c r="FC48" s="938"/>
      <c r="FD48" s="938"/>
      <c r="FE48" s="938"/>
      <c r="FF48" s="938"/>
      <c r="FG48" s="938"/>
      <c r="FH48" s="938"/>
      <c r="FI48" s="938"/>
      <c r="FJ48" s="938"/>
      <c r="FK48" s="938"/>
      <c r="FL48" s="938"/>
      <c r="FM48" s="938"/>
      <c r="FN48" s="938"/>
      <c r="FO48" s="938"/>
      <c r="FP48" s="938"/>
      <c r="FQ48" s="938"/>
      <c r="FR48" s="938"/>
      <c r="FS48" s="938"/>
      <c r="FT48" s="938"/>
      <c r="FU48" s="938"/>
      <c r="FV48" s="938"/>
      <c r="FW48" s="938"/>
      <c r="FX48" s="938"/>
      <c r="FY48" s="938"/>
      <c r="FZ48" s="938"/>
      <c r="GA48" s="938"/>
      <c r="GB48" s="938"/>
      <c r="GC48" s="938"/>
      <c r="GD48" s="938"/>
      <c r="GE48" s="938"/>
      <c r="GF48" s="938"/>
      <c r="GG48" s="938"/>
      <c r="GH48" s="938"/>
      <c r="GI48" s="938"/>
      <c r="GJ48" s="938"/>
      <c r="GK48" s="938"/>
      <c r="GL48" s="938"/>
      <c r="GM48" s="938"/>
      <c r="GN48" s="938"/>
      <c r="GO48" s="938"/>
      <c r="GP48" s="938"/>
      <c r="GQ48" s="938"/>
      <c r="GR48" s="938"/>
      <c r="GS48" s="938"/>
      <c r="GT48" s="938"/>
      <c r="GU48" s="938"/>
      <c r="GV48" s="938"/>
      <c r="GW48" s="938"/>
      <c r="GX48" s="938"/>
      <c r="GY48" s="938"/>
      <c r="GZ48" s="938"/>
      <c r="HA48" s="938"/>
      <c r="HB48" s="938"/>
      <c r="HC48" s="938"/>
      <c r="HD48" s="938"/>
      <c r="HE48" s="938"/>
      <c r="HF48" s="938"/>
      <c r="HG48" s="938"/>
      <c r="HH48" s="938"/>
      <c r="HI48" s="938"/>
      <c r="HJ48" s="938"/>
      <c r="HK48" s="938"/>
      <c r="HL48" s="938"/>
      <c r="HM48" s="938"/>
      <c r="HN48" s="938"/>
      <c r="HO48" s="938"/>
      <c r="HP48" s="938"/>
      <c r="HQ48" s="938"/>
      <c r="HR48" s="938"/>
    </row>
    <row r="49" spans="1:226" s="939" customFormat="1" ht="15" hidden="1" customHeight="1">
      <c r="A49" s="1499"/>
      <c r="B49" s="1520"/>
      <c r="C49" s="1521"/>
      <c r="D49" s="1522"/>
      <c r="E49" s="952"/>
      <c r="F49" s="945">
        <f>SUM(G49:J49)</f>
        <v>0</v>
      </c>
      <c r="G49" s="945"/>
      <c r="H49" s="945"/>
      <c r="I49" s="945"/>
      <c r="J49" s="946"/>
      <c r="K49" s="938"/>
    </row>
    <row r="50" spans="1:226" s="939" customFormat="1" ht="15" hidden="1" customHeight="1">
      <c r="A50" s="1499"/>
      <c r="B50" s="1520"/>
      <c r="C50" s="1521"/>
      <c r="D50" s="1522"/>
      <c r="E50" s="952"/>
      <c r="F50" s="945">
        <f>SUM(G50:J50)</f>
        <v>0</v>
      </c>
      <c r="G50" s="945"/>
      <c r="H50" s="945"/>
      <c r="I50" s="945"/>
      <c r="J50" s="946"/>
      <c r="K50" s="938"/>
    </row>
    <row r="51" spans="1:226" s="939" customFormat="1" ht="24.95" hidden="1" customHeight="1">
      <c r="A51" s="1499"/>
      <c r="B51" s="1520"/>
      <c r="C51" s="1521"/>
      <c r="D51" s="1522"/>
      <c r="E51" s="947" t="s">
        <v>939</v>
      </c>
      <c r="F51" s="941">
        <f>SUM(F52:F54)</f>
        <v>0</v>
      </c>
      <c r="G51" s="941">
        <f>SUM(G52:G54)</f>
        <v>0</v>
      </c>
      <c r="H51" s="941">
        <f>SUM(H52:H54)</f>
        <v>0</v>
      </c>
      <c r="I51" s="941">
        <f>SUM(I52:I54)</f>
        <v>0</v>
      </c>
      <c r="J51" s="942">
        <f>SUM(J52:J54)</f>
        <v>0</v>
      </c>
      <c r="K51" s="938"/>
    </row>
    <row r="52" spans="1:226" s="939" customFormat="1" ht="15" hidden="1" customHeight="1">
      <c r="A52" s="1499"/>
      <c r="B52" s="1520"/>
      <c r="C52" s="1521"/>
      <c r="D52" s="1522"/>
      <c r="E52" s="944" t="s">
        <v>282</v>
      </c>
      <c r="F52" s="945">
        <f>SUM(G52:J52)</f>
        <v>0</v>
      </c>
      <c r="G52" s="945"/>
      <c r="H52" s="945"/>
      <c r="I52" s="945"/>
      <c r="J52" s="946"/>
      <c r="K52" s="938"/>
    </row>
    <row r="53" spans="1:226" s="939" customFormat="1" ht="15" hidden="1" customHeight="1">
      <c r="A53" s="1499"/>
      <c r="B53" s="1520"/>
      <c r="C53" s="1521"/>
      <c r="D53" s="1522"/>
      <c r="E53" s="944" t="s">
        <v>283</v>
      </c>
      <c r="F53" s="945">
        <f>SUM(G53:J53)</f>
        <v>0</v>
      </c>
      <c r="G53" s="945"/>
      <c r="H53" s="945"/>
      <c r="I53" s="945"/>
      <c r="J53" s="946"/>
      <c r="K53" s="938"/>
    </row>
    <row r="54" spans="1:226" s="939" customFormat="1" ht="15" hidden="1" customHeight="1">
      <c r="A54" s="1499"/>
      <c r="B54" s="1520"/>
      <c r="C54" s="1521"/>
      <c r="D54" s="1522"/>
      <c r="E54" s="953">
        <v>6207</v>
      </c>
      <c r="F54" s="945">
        <f>SUM(G54:J54)</f>
        <v>0</v>
      </c>
      <c r="G54" s="945"/>
      <c r="H54" s="945"/>
      <c r="I54" s="945"/>
      <c r="J54" s="946"/>
      <c r="K54" s="938"/>
    </row>
    <row r="55" spans="1:226" s="939" customFormat="1" ht="24.95" hidden="1" customHeight="1">
      <c r="A55" s="1499"/>
      <c r="B55" s="1520" t="s">
        <v>947</v>
      </c>
      <c r="C55" s="1521">
        <v>720</v>
      </c>
      <c r="D55" s="1522" t="s">
        <v>418</v>
      </c>
      <c r="E55" s="935" t="s">
        <v>937</v>
      </c>
      <c r="F55" s="936">
        <f>SUM(F56,F63)</f>
        <v>0</v>
      </c>
      <c r="G55" s="936">
        <f>SUM(G56,G63)</f>
        <v>0</v>
      </c>
      <c r="H55" s="936">
        <f>SUM(H56,H63)</f>
        <v>0</v>
      </c>
      <c r="I55" s="936">
        <f>SUM(I56,I63)</f>
        <v>0</v>
      </c>
      <c r="J55" s="937">
        <f>SUM(J56,J63)</f>
        <v>0</v>
      </c>
      <c r="K55" s="938"/>
    </row>
    <row r="56" spans="1:226" s="939" customFormat="1" ht="24.95" hidden="1" customHeight="1">
      <c r="A56" s="1499"/>
      <c r="B56" s="1520"/>
      <c r="C56" s="1521"/>
      <c r="D56" s="1522"/>
      <c r="E56" s="940" t="s">
        <v>440</v>
      </c>
      <c r="F56" s="941">
        <f>SUM(F57,F60)</f>
        <v>0</v>
      </c>
      <c r="G56" s="941">
        <f>SUM(G57,G60)</f>
        <v>0</v>
      </c>
      <c r="H56" s="941">
        <f>SUM(H57,H60)</f>
        <v>0</v>
      </c>
      <c r="I56" s="941">
        <f>SUM(I57,I60)</f>
        <v>0</v>
      </c>
      <c r="J56" s="942">
        <f>SUM(J57,J60)</f>
        <v>0</v>
      </c>
      <c r="K56" s="938"/>
    </row>
    <row r="57" spans="1:226" s="939" customFormat="1" ht="24.95" hidden="1" customHeight="1">
      <c r="A57" s="1499"/>
      <c r="B57" s="1520"/>
      <c r="C57" s="1521"/>
      <c r="D57" s="1522"/>
      <c r="E57" s="949" t="s">
        <v>944</v>
      </c>
      <c r="F57" s="950">
        <f>SUM(F58:F59)</f>
        <v>0</v>
      </c>
      <c r="G57" s="950">
        <f>SUM(G58:G59)</f>
        <v>0</v>
      </c>
      <c r="H57" s="950">
        <f>SUM(H58:H59)</f>
        <v>0</v>
      </c>
      <c r="I57" s="950">
        <f>SUM(I58:I59)</f>
        <v>0</v>
      </c>
      <c r="J57" s="951">
        <f>SUM(J58:J59)</f>
        <v>0</v>
      </c>
      <c r="K57" s="938"/>
    </row>
    <row r="58" spans="1:226" s="939" customFormat="1" ht="15" hidden="1" customHeight="1">
      <c r="A58" s="1499"/>
      <c r="B58" s="1520"/>
      <c r="C58" s="1521"/>
      <c r="D58" s="1522"/>
      <c r="E58" s="952"/>
      <c r="F58" s="945">
        <f>SUM(G58:J58)</f>
        <v>0</v>
      </c>
      <c r="G58" s="945"/>
      <c r="H58" s="945"/>
      <c r="I58" s="945"/>
      <c r="J58" s="946"/>
      <c r="K58" s="938"/>
    </row>
    <row r="59" spans="1:226" s="939" customFormat="1" ht="15" hidden="1" customHeight="1">
      <c r="A59" s="1499"/>
      <c r="B59" s="1520"/>
      <c r="C59" s="1521"/>
      <c r="D59" s="1522"/>
      <c r="E59" s="952"/>
      <c r="F59" s="945">
        <f>SUM(G59:J59)</f>
        <v>0</v>
      </c>
      <c r="G59" s="945"/>
      <c r="H59" s="945"/>
      <c r="I59" s="945"/>
      <c r="J59" s="946"/>
      <c r="K59" s="938"/>
      <c r="L59" s="938"/>
      <c r="M59" s="938"/>
      <c r="N59" s="938"/>
      <c r="O59" s="938"/>
      <c r="P59" s="938"/>
      <c r="Q59" s="938"/>
      <c r="R59" s="938"/>
      <c r="S59" s="938"/>
      <c r="T59" s="938"/>
      <c r="U59" s="938"/>
      <c r="V59" s="938"/>
      <c r="W59" s="938"/>
      <c r="X59" s="938"/>
      <c r="Y59" s="938"/>
      <c r="Z59" s="938"/>
      <c r="AA59" s="938"/>
      <c r="AB59" s="938"/>
      <c r="AC59" s="938"/>
      <c r="AD59" s="938"/>
      <c r="AE59" s="938"/>
      <c r="AF59" s="938"/>
      <c r="AG59" s="938"/>
      <c r="AH59" s="938"/>
      <c r="AI59" s="938"/>
      <c r="AJ59" s="938"/>
      <c r="AK59" s="938"/>
      <c r="AL59" s="938"/>
      <c r="AM59" s="938"/>
      <c r="AN59" s="938"/>
      <c r="AO59" s="938"/>
      <c r="AP59" s="938"/>
      <c r="AQ59" s="938"/>
      <c r="AR59" s="938"/>
      <c r="AS59" s="938"/>
      <c r="AT59" s="938"/>
      <c r="AU59" s="938"/>
      <c r="AV59" s="938"/>
      <c r="AW59" s="938"/>
      <c r="AX59" s="938"/>
      <c r="AY59" s="938"/>
      <c r="AZ59" s="938"/>
      <c r="BA59" s="938"/>
      <c r="BB59" s="938"/>
      <c r="BC59" s="938"/>
      <c r="BD59" s="938"/>
      <c r="BE59" s="938"/>
      <c r="BF59" s="938"/>
      <c r="BG59" s="938"/>
      <c r="BH59" s="938"/>
      <c r="BI59" s="938"/>
      <c r="BJ59" s="938"/>
      <c r="BK59" s="938"/>
      <c r="BL59" s="938"/>
      <c r="BM59" s="938"/>
      <c r="BN59" s="938"/>
      <c r="BO59" s="938"/>
      <c r="BP59" s="938"/>
      <c r="BQ59" s="938"/>
      <c r="BR59" s="938"/>
      <c r="BS59" s="938"/>
      <c r="BT59" s="938"/>
      <c r="BU59" s="938"/>
      <c r="BV59" s="938"/>
      <c r="BW59" s="938"/>
      <c r="BX59" s="938"/>
      <c r="BY59" s="938"/>
      <c r="BZ59" s="938"/>
      <c r="CA59" s="938"/>
      <c r="CB59" s="938"/>
      <c r="CC59" s="938"/>
      <c r="CD59" s="938"/>
      <c r="CE59" s="938"/>
      <c r="CF59" s="938"/>
      <c r="CG59" s="938"/>
      <c r="CH59" s="938"/>
      <c r="CI59" s="938"/>
      <c r="CJ59" s="938"/>
      <c r="CK59" s="938"/>
      <c r="CL59" s="938"/>
      <c r="CM59" s="938"/>
      <c r="CN59" s="938"/>
      <c r="CO59" s="938"/>
      <c r="CP59" s="938"/>
      <c r="CQ59" s="938"/>
      <c r="CR59" s="938"/>
      <c r="CS59" s="938"/>
      <c r="CT59" s="938"/>
      <c r="CU59" s="938"/>
      <c r="CV59" s="938"/>
      <c r="CW59" s="938"/>
      <c r="CX59" s="938"/>
      <c r="CY59" s="938"/>
      <c r="CZ59" s="938"/>
      <c r="DA59" s="938"/>
      <c r="DB59" s="938"/>
      <c r="DC59" s="938"/>
      <c r="DD59" s="938"/>
      <c r="DE59" s="938"/>
      <c r="DF59" s="938"/>
      <c r="DG59" s="938"/>
      <c r="DH59" s="938"/>
      <c r="DI59" s="938"/>
      <c r="DJ59" s="938"/>
      <c r="DK59" s="938"/>
      <c r="DL59" s="938"/>
      <c r="DM59" s="938"/>
      <c r="DN59" s="938"/>
      <c r="DO59" s="938"/>
      <c r="DP59" s="938"/>
      <c r="DQ59" s="938"/>
      <c r="DR59" s="938"/>
      <c r="DS59" s="938"/>
      <c r="DT59" s="938"/>
      <c r="DU59" s="938"/>
      <c r="DV59" s="938"/>
      <c r="DW59" s="938"/>
      <c r="DX59" s="938"/>
      <c r="DY59" s="938"/>
      <c r="DZ59" s="938"/>
      <c r="EA59" s="938"/>
      <c r="EB59" s="938"/>
      <c r="EC59" s="938"/>
      <c r="ED59" s="938"/>
      <c r="EE59" s="938"/>
      <c r="EF59" s="938"/>
      <c r="EG59" s="938"/>
      <c r="EH59" s="938"/>
      <c r="EI59" s="938"/>
      <c r="EJ59" s="938"/>
      <c r="EK59" s="938"/>
      <c r="EL59" s="938"/>
      <c r="EM59" s="938"/>
      <c r="EN59" s="938"/>
      <c r="EO59" s="938"/>
      <c r="EP59" s="938"/>
      <c r="EQ59" s="938"/>
      <c r="ER59" s="938"/>
      <c r="ES59" s="938"/>
      <c r="ET59" s="938"/>
      <c r="EU59" s="938"/>
      <c r="EV59" s="938"/>
      <c r="EW59" s="938"/>
      <c r="EX59" s="938"/>
      <c r="EY59" s="938"/>
      <c r="EZ59" s="938"/>
      <c r="FA59" s="938"/>
      <c r="FB59" s="938"/>
      <c r="FC59" s="938"/>
      <c r="FD59" s="938"/>
      <c r="FE59" s="938"/>
      <c r="FF59" s="938"/>
      <c r="FG59" s="938"/>
      <c r="FH59" s="938"/>
      <c r="FI59" s="938"/>
      <c r="FJ59" s="938"/>
      <c r="FK59" s="938"/>
      <c r="FL59" s="938"/>
      <c r="FM59" s="938"/>
      <c r="FN59" s="938"/>
      <c r="FO59" s="938"/>
      <c r="FP59" s="938"/>
      <c r="FQ59" s="938"/>
      <c r="FR59" s="938"/>
      <c r="FS59" s="938"/>
      <c r="FT59" s="938"/>
      <c r="FU59" s="938"/>
      <c r="FV59" s="938"/>
      <c r="FW59" s="938"/>
      <c r="FX59" s="938"/>
      <c r="FY59" s="938"/>
      <c r="FZ59" s="938"/>
      <c r="GA59" s="938"/>
      <c r="GB59" s="938"/>
      <c r="GC59" s="938"/>
      <c r="GD59" s="938"/>
      <c r="GE59" s="938"/>
      <c r="GF59" s="938"/>
      <c r="GG59" s="938"/>
      <c r="GH59" s="938"/>
      <c r="GI59" s="938"/>
      <c r="GJ59" s="938"/>
      <c r="GK59" s="938"/>
      <c r="GL59" s="938"/>
      <c r="GM59" s="938"/>
      <c r="GN59" s="938"/>
      <c r="GO59" s="938"/>
      <c r="GP59" s="938"/>
      <c r="GQ59" s="938"/>
      <c r="GR59" s="938"/>
      <c r="GS59" s="938"/>
      <c r="GT59" s="938"/>
      <c r="GU59" s="938"/>
      <c r="GV59" s="938"/>
      <c r="GW59" s="938"/>
      <c r="GX59" s="938"/>
      <c r="GY59" s="938"/>
      <c r="GZ59" s="938"/>
      <c r="HA59" s="938"/>
      <c r="HB59" s="938"/>
      <c r="HC59" s="938"/>
      <c r="HD59" s="938"/>
      <c r="HE59" s="938"/>
      <c r="HF59" s="938"/>
      <c r="HG59" s="938"/>
      <c r="HH59" s="938"/>
      <c r="HI59" s="938"/>
      <c r="HJ59" s="938"/>
      <c r="HK59" s="938"/>
      <c r="HL59" s="938"/>
      <c r="HM59" s="938"/>
      <c r="HN59" s="938"/>
      <c r="HO59" s="938"/>
      <c r="HP59" s="938"/>
      <c r="HQ59" s="938"/>
      <c r="HR59" s="938"/>
    </row>
    <row r="60" spans="1:226" s="939" customFormat="1" ht="24.95" hidden="1" customHeight="1">
      <c r="A60" s="1499"/>
      <c r="B60" s="1520"/>
      <c r="C60" s="1521"/>
      <c r="D60" s="1522"/>
      <c r="E60" s="949" t="s">
        <v>945</v>
      </c>
      <c r="F60" s="950">
        <f>SUM(F61:F62)</f>
        <v>0</v>
      </c>
      <c r="G60" s="950">
        <f>SUM(G61:G62)</f>
        <v>0</v>
      </c>
      <c r="H60" s="950">
        <f>SUM(H61:H62)</f>
        <v>0</v>
      </c>
      <c r="I60" s="950">
        <f>SUM(I61:I62)</f>
        <v>0</v>
      </c>
      <c r="J60" s="951">
        <f>SUM(J61:J62)</f>
        <v>0</v>
      </c>
      <c r="K60" s="938"/>
    </row>
    <row r="61" spans="1:226" s="939" customFormat="1" ht="15" hidden="1" customHeight="1">
      <c r="A61" s="1499"/>
      <c r="B61" s="1520"/>
      <c r="C61" s="1521"/>
      <c r="D61" s="1522"/>
      <c r="E61" s="952"/>
      <c r="F61" s="945">
        <f>SUM(G61:J61)</f>
        <v>0</v>
      </c>
      <c r="G61" s="945"/>
      <c r="H61" s="945"/>
      <c r="I61" s="945"/>
      <c r="J61" s="946"/>
      <c r="K61" s="938"/>
    </row>
    <row r="62" spans="1:226" s="939" customFormat="1" ht="15" hidden="1" customHeight="1">
      <c r="A62" s="1499"/>
      <c r="B62" s="1520"/>
      <c r="C62" s="1521"/>
      <c r="D62" s="1522"/>
      <c r="E62" s="952"/>
      <c r="F62" s="945">
        <f>SUM(G62:J62)</f>
        <v>0</v>
      </c>
      <c r="G62" s="945"/>
      <c r="H62" s="945"/>
      <c r="I62" s="945"/>
      <c r="J62" s="946"/>
      <c r="K62" s="938"/>
    </row>
    <row r="63" spans="1:226" s="939" customFormat="1" ht="24.95" hidden="1" customHeight="1">
      <c r="A63" s="1499"/>
      <c r="B63" s="1520"/>
      <c r="C63" s="1521"/>
      <c r="D63" s="1522"/>
      <c r="E63" s="947" t="s">
        <v>939</v>
      </c>
      <c r="F63" s="941">
        <f>SUM(F64:F65)</f>
        <v>0</v>
      </c>
      <c r="G63" s="941">
        <f>SUM(G64:G65)</f>
        <v>0</v>
      </c>
      <c r="H63" s="941">
        <f>SUM(H64:H65)</f>
        <v>0</v>
      </c>
      <c r="I63" s="941">
        <f>SUM(I64:I65)</f>
        <v>0</v>
      </c>
      <c r="J63" s="942">
        <f>SUM(J64:J65)</f>
        <v>0</v>
      </c>
      <c r="K63" s="938"/>
    </row>
    <row r="64" spans="1:226" s="939" customFormat="1" ht="15" hidden="1" customHeight="1">
      <c r="A64" s="1499"/>
      <c r="B64" s="1520"/>
      <c r="C64" s="1521"/>
      <c r="D64" s="1522"/>
      <c r="E64" s="944" t="s">
        <v>282</v>
      </c>
      <c r="F64" s="945">
        <f>SUM(G64:J64)</f>
        <v>0</v>
      </c>
      <c r="G64" s="945"/>
      <c r="H64" s="945"/>
      <c r="I64" s="945"/>
      <c r="J64" s="946"/>
      <c r="K64" s="938"/>
    </row>
    <row r="65" spans="1:226" s="939" customFormat="1" ht="15" hidden="1" customHeight="1">
      <c r="A65" s="1499"/>
      <c r="B65" s="1520"/>
      <c r="C65" s="1521"/>
      <c r="D65" s="1522"/>
      <c r="E65" s="953">
        <v>6059</v>
      </c>
      <c r="F65" s="945">
        <f>SUM(G65:J65)</f>
        <v>0</v>
      </c>
      <c r="G65" s="945"/>
      <c r="H65" s="945"/>
      <c r="I65" s="945"/>
      <c r="J65" s="946"/>
      <c r="K65" s="938"/>
    </row>
    <row r="66" spans="1:226" s="939" customFormat="1" ht="24.95" customHeight="1">
      <c r="A66" s="1503" t="s">
        <v>948</v>
      </c>
      <c r="B66" s="1504" t="s">
        <v>949</v>
      </c>
      <c r="C66" s="1505">
        <v>750</v>
      </c>
      <c r="D66" s="1506" t="s">
        <v>438</v>
      </c>
      <c r="E66" s="954" t="s">
        <v>937</v>
      </c>
      <c r="F66" s="955">
        <f>SUM(F67,F76)</f>
        <v>100000</v>
      </c>
      <c r="G66" s="955">
        <f>SUM(G67,G76)</f>
        <v>0</v>
      </c>
      <c r="H66" s="955">
        <f>SUM(H67,H76)</f>
        <v>0</v>
      </c>
      <c r="I66" s="955">
        <f>SUM(I67,I76)</f>
        <v>100000</v>
      </c>
      <c r="J66" s="956">
        <f>SUM(J67,J76)</f>
        <v>0</v>
      </c>
      <c r="K66" s="938"/>
    </row>
    <row r="67" spans="1:226" s="939" customFormat="1" ht="24.95" customHeight="1">
      <c r="A67" s="1507"/>
      <c r="B67" s="1509"/>
      <c r="C67" s="1511"/>
      <c r="D67" s="1513"/>
      <c r="E67" s="957" t="s">
        <v>943</v>
      </c>
      <c r="F67" s="958">
        <f>SUM(F68,F72)</f>
        <v>100000</v>
      </c>
      <c r="G67" s="958">
        <f>SUM(G68,G72)</f>
        <v>0</v>
      </c>
      <c r="H67" s="958">
        <f>SUM(H68,H72)</f>
        <v>0</v>
      </c>
      <c r="I67" s="958">
        <f>SUM(I68,I72)</f>
        <v>100000</v>
      </c>
      <c r="J67" s="959">
        <f>SUM(J68,J72)</f>
        <v>0</v>
      </c>
      <c r="K67" s="938"/>
    </row>
    <row r="68" spans="1:226" s="939" customFormat="1" ht="24.95" customHeight="1">
      <c r="A68" s="1507"/>
      <c r="B68" s="1509"/>
      <c r="C68" s="1511"/>
      <c r="D68" s="1513"/>
      <c r="E68" s="960" t="s">
        <v>944</v>
      </c>
      <c r="F68" s="961">
        <f>SUM(F69:F71)</f>
        <v>85000</v>
      </c>
      <c r="G68" s="961">
        <f>SUM(G69:G71)</f>
        <v>0</v>
      </c>
      <c r="H68" s="961">
        <f>SUM(H69:H71)</f>
        <v>0</v>
      </c>
      <c r="I68" s="961">
        <f>SUM(I69:I71)</f>
        <v>85000</v>
      </c>
      <c r="J68" s="962">
        <f>SUM(J69:J71)</f>
        <v>0</v>
      </c>
      <c r="K68" s="938"/>
    </row>
    <row r="69" spans="1:226" s="939" customFormat="1" ht="15" customHeight="1">
      <c r="A69" s="1507"/>
      <c r="B69" s="1509"/>
      <c r="C69" s="1511"/>
      <c r="D69" s="1513"/>
      <c r="E69" s="963" t="s">
        <v>295</v>
      </c>
      <c r="F69" s="964">
        <f>SUM(G69:J69)</f>
        <v>4000</v>
      </c>
      <c r="G69" s="964"/>
      <c r="H69" s="964"/>
      <c r="I69" s="964">
        <v>4000</v>
      </c>
      <c r="J69" s="965"/>
      <c r="K69" s="938"/>
    </row>
    <row r="70" spans="1:226" s="939" customFormat="1" ht="15" customHeight="1">
      <c r="A70" s="1507"/>
      <c r="B70" s="1509"/>
      <c r="C70" s="1511"/>
      <c r="D70" s="1513"/>
      <c r="E70" s="963" t="s">
        <v>297</v>
      </c>
      <c r="F70" s="964">
        <f>SUM(G70:J70)</f>
        <v>1000</v>
      </c>
      <c r="G70" s="964"/>
      <c r="H70" s="964"/>
      <c r="I70" s="964">
        <v>1000</v>
      </c>
      <c r="J70" s="965"/>
      <c r="K70" s="938"/>
    </row>
    <row r="71" spans="1:226" s="939" customFormat="1" ht="15" customHeight="1">
      <c r="A71" s="1507"/>
      <c r="B71" s="1509"/>
      <c r="C71" s="1511"/>
      <c r="D71" s="1513"/>
      <c r="E71" s="963" t="s">
        <v>299</v>
      </c>
      <c r="F71" s="964">
        <f>SUM(G71:J71)</f>
        <v>80000</v>
      </c>
      <c r="G71" s="964"/>
      <c r="H71" s="964"/>
      <c r="I71" s="964">
        <v>80000</v>
      </c>
      <c r="J71" s="965"/>
      <c r="K71" s="938"/>
    </row>
    <row r="72" spans="1:226" s="939" customFormat="1" ht="24.95" customHeight="1">
      <c r="A72" s="1507"/>
      <c r="B72" s="1509"/>
      <c r="C72" s="1511"/>
      <c r="D72" s="1513"/>
      <c r="E72" s="960" t="s">
        <v>945</v>
      </c>
      <c r="F72" s="961">
        <f>SUM(F73:F75)</f>
        <v>15000</v>
      </c>
      <c r="G72" s="961">
        <f>SUM(G73:G75)</f>
        <v>0</v>
      </c>
      <c r="H72" s="961">
        <f>SUM(H73:H75)</f>
        <v>0</v>
      </c>
      <c r="I72" s="961">
        <f>SUM(I73:I75)</f>
        <v>15000</v>
      </c>
      <c r="J72" s="962">
        <f>SUM(J73:J75)</f>
        <v>0</v>
      </c>
      <c r="K72" s="938"/>
      <c r="L72" s="938"/>
      <c r="M72" s="938"/>
      <c r="N72" s="938"/>
      <c r="O72" s="938"/>
      <c r="P72" s="938"/>
      <c r="Q72" s="938"/>
      <c r="R72" s="938"/>
      <c r="S72" s="938"/>
      <c r="T72" s="938"/>
      <c r="U72" s="938"/>
      <c r="V72" s="938"/>
      <c r="W72" s="938"/>
      <c r="X72" s="938"/>
      <c r="Y72" s="938"/>
      <c r="Z72" s="938"/>
      <c r="AA72" s="938"/>
      <c r="AB72" s="938"/>
      <c r="AC72" s="938"/>
      <c r="AD72" s="938"/>
      <c r="AE72" s="938"/>
      <c r="AF72" s="938"/>
      <c r="AG72" s="938"/>
      <c r="AH72" s="938"/>
      <c r="AI72" s="938"/>
      <c r="AJ72" s="938"/>
      <c r="AK72" s="938"/>
      <c r="AL72" s="938"/>
      <c r="AM72" s="938"/>
      <c r="AN72" s="938"/>
      <c r="AO72" s="938"/>
      <c r="AP72" s="938"/>
      <c r="AQ72" s="938"/>
      <c r="AR72" s="938"/>
      <c r="AS72" s="938"/>
      <c r="AT72" s="938"/>
      <c r="AU72" s="938"/>
      <c r="AV72" s="938"/>
      <c r="AW72" s="938"/>
      <c r="AX72" s="938"/>
      <c r="AY72" s="938"/>
      <c r="AZ72" s="938"/>
      <c r="BA72" s="938"/>
      <c r="BB72" s="938"/>
      <c r="BC72" s="938"/>
      <c r="BD72" s="938"/>
      <c r="BE72" s="938"/>
      <c r="BF72" s="938"/>
      <c r="BG72" s="938"/>
      <c r="BH72" s="938"/>
      <c r="BI72" s="938"/>
      <c r="BJ72" s="938"/>
      <c r="BK72" s="938"/>
      <c r="BL72" s="938"/>
      <c r="BM72" s="938"/>
      <c r="BN72" s="938"/>
      <c r="BO72" s="938"/>
      <c r="BP72" s="938"/>
      <c r="BQ72" s="938"/>
      <c r="BR72" s="938"/>
      <c r="BS72" s="938"/>
      <c r="BT72" s="938"/>
      <c r="BU72" s="938"/>
      <c r="BV72" s="938"/>
      <c r="BW72" s="938"/>
      <c r="BX72" s="938"/>
      <c r="BY72" s="938"/>
      <c r="BZ72" s="938"/>
      <c r="CA72" s="938"/>
      <c r="CB72" s="938"/>
      <c r="CC72" s="938"/>
      <c r="CD72" s="938"/>
      <c r="CE72" s="938"/>
      <c r="CF72" s="938"/>
      <c r="CG72" s="938"/>
      <c r="CH72" s="938"/>
      <c r="CI72" s="938"/>
      <c r="CJ72" s="938"/>
      <c r="CK72" s="938"/>
      <c r="CL72" s="938"/>
      <c r="CM72" s="938"/>
      <c r="CN72" s="938"/>
      <c r="CO72" s="938"/>
      <c r="CP72" s="938"/>
      <c r="CQ72" s="938"/>
      <c r="CR72" s="938"/>
      <c r="CS72" s="938"/>
      <c r="CT72" s="938"/>
      <c r="CU72" s="938"/>
      <c r="CV72" s="938"/>
      <c r="CW72" s="938"/>
      <c r="CX72" s="938"/>
      <c r="CY72" s="938"/>
      <c r="CZ72" s="938"/>
      <c r="DA72" s="938"/>
      <c r="DB72" s="938"/>
      <c r="DC72" s="938"/>
      <c r="DD72" s="938"/>
      <c r="DE72" s="938"/>
      <c r="DF72" s="938"/>
      <c r="DG72" s="938"/>
      <c r="DH72" s="938"/>
      <c r="DI72" s="938"/>
      <c r="DJ72" s="938"/>
      <c r="DK72" s="938"/>
      <c r="DL72" s="938"/>
      <c r="DM72" s="938"/>
      <c r="DN72" s="938"/>
      <c r="DO72" s="938"/>
      <c r="DP72" s="938"/>
      <c r="DQ72" s="938"/>
      <c r="DR72" s="938"/>
      <c r="DS72" s="938"/>
      <c r="DT72" s="938"/>
      <c r="DU72" s="938"/>
      <c r="DV72" s="938"/>
      <c r="DW72" s="938"/>
      <c r="DX72" s="938"/>
      <c r="DY72" s="938"/>
      <c r="DZ72" s="938"/>
      <c r="EA72" s="938"/>
      <c r="EB72" s="938"/>
      <c r="EC72" s="938"/>
      <c r="ED72" s="938"/>
      <c r="EE72" s="938"/>
      <c r="EF72" s="938"/>
      <c r="EG72" s="938"/>
      <c r="EH72" s="938"/>
      <c r="EI72" s="938"/>
      <c r="EJ72" s="938"/>
      <c r="EK72" s="938"/>
      <c r="EL72" s="938"/>
      <c r="EM72" s="938"/>
      <c r="EN72" s="938"/>
      <c r="EO72" s="938"/>
      <c r="EP72" s="938"/>
      <c r="EQ72" s="938"/>
      <c r="ER72" s="938"/>
      <c r="ES72" s="938"/>
      <c r="ET72" s="938"/>
      <c r="EU72" s="938"/>
      <c r="EV72" s="938"/>
      <c r="EW72" s="938"/>
      <c r="EX72" s="938"/>
      <c r="EY72" s="938"/>
      <c r="EZ72" s="938"/>
      <c r="FA72" s="938"/>
      <c r="FB72" s="938"/>
      <c r="FC72" s="938"/>
      <c r="FD72" s="938"/>
      <c r="FE72" s="938"/>
      <c r="FF72" s="938"/>
      <c r="FG72" s="938"/>
      <c r="FH72" s="938"/>
      <c r="FI72" s="938"/>
      <c r="FJ72" s="938"/>
      <c r="FK72" s="938"/>
      <c r="FL72" s="938"/>
      <c r="FM72" s="938"/>
      <c r="FN72" s="938"/>
      <c r="FO72" s="938"/>
      <c r="FP72" s="938"/>
      <c r="FQ72" s="938"/>
      <c r="FR72" s="938"/>
      <c r="FS72" s="938"/>
      <c r="FT72" s="938"/>
      <c r="FU72" s="938"/>
      <c r="FV72" s="938"/>
      <c r="FW72" s="938"/>
      <c r="FX72" s="938"/>
      <c r="FY72" s="938"/>
      <c r="FZ72" s="938"/>
      <c r="GA72" s="938"/>
      <c r="GB72" s="938"/>
      <c r="GC72" s="938"/>
      <c r="GD72" s="938"/>
      <c r="GE72" s="938"/>
      <c r="GF72" s="938"/>
      <c r="GG72" s="938"/>
      <c r="GH72" s="938"/>
      <c r="GI72" s="938"/>
      <c r="GJ72" s="938"/>
      <c r="GK72" s="938"/>
      <c r="GL72" s="938"/>
      <c r="GM72" s="938"/>
      <c r="GN72" s="938"/>
      <c r="GO72" s="938"/>
      <c r="GP72" s="938"/>
      <c r="GQ72" s="938"/>
      <c r="GR72" s="938"/>
      <c r="GS72" s="938"/>
      <c r="GT72" s="938"/>
      <c r="GU72" s="938"/>
      <c r="GV72" s="938"/>
      <c r="GW72" s="938"/>
      <c r="GX72" s="938"/>
      <c r="GY72" s="938"/>
      <c r="GZ72" s="938"/>
      <c r="HA72" s="938"/>
      <c r="HB72" s="938"/>
      <c r="HC72" s="938"/>
      <c r="HD72" s="938"/>
      <c r="HE72" s="938"/>
      <c r="HF72" s="938"/>
      <c r="HG72" s="938"/>
      <c r="HH72" s="938"/>
      <c r="HI72" s="938"/>
      <c r="HJ72" s="938"/>
      <c r="HK72" s="938"/>
      <c r="HL72" s="938"/>
      <c r="HM72" s="938"/>
      <c r="HN72" s="938"/>
      <c r="HO72" s="938"/>
      <c r="HP72" s="938"/>
      <c r="HQ72" s="938"/>
      <c r="HR72" s="938"/>
    </row>
    <row r="73" spans="1:226" s="939" customFormat="1" ht="15" customHeight="1">
      <c r="A73" s="1507"/>
      <c r="B73" s="1509"/>
      <c r="C73" s="1511"/>
      <c r="D73" s="1513"/>
      <c r="E73" s="963" t="s">
        <v>301</v>
      </c>
      <c r="F73" s="964">
        <f>SUM(G73:J73)</f>
        <v>4000</v>
      </c>
      <c r="G73" s="964"/>
      <c r="H73" s="964"/>
      <c r="I73" s="964">
        <v>4000</v>
      </c>
      <c r="J73" s="965"/>
      <c r="K73" s="938"/>
    </row>
    <row r="74" spans="1:226" s="939" customFormat="1" ht="15" customHeight="1">
      <c r="A74" s="1507"/>
      <c r="B74" s="1509"/>
      <c r="C74" s="1511"/>
      <c r="D74" s="1513"/>
      <c r="E74" s="963" t="s">
        <v>303</v>
      </c>
      <c r="F74" s="964">
        <f>SUM(G74:J74)</f>
        <v>1000</v>
      </c>
      <c r="G74" s="964"/>
      <c r="H74" s="964"/>
      <c r="I74" s="964">
        <v>1000</v>
      </c>
      <c r="J74" s="965"/>
      <c r="K74" s="938"/>
    </row>
    <row r="75" spans="1:226" s="939" customFormat="1" ht="15" customHeight="1">
      <c r="A75" s="1507"/>
      <c r="B75" s="1509"/>
      <c r="C75" s="1511"/>
      <c r="D75" s="1513"/>
      <c r="E75" s="963" t="s">
        <v>450</v>
      </c>
      <c r="F75" s="964">
        <f>SUM(G75:J75)</f>
        <v>10000</v>
      </c>
      <c r="G75" s="964"/>
      <c r="H75" s="964"/>
      <c r="I75" s="964">
        <v>10000</v>
      </c>
      <c r="J75" s="965"/>
      <c r="K75" s="938"/>
    </row>
    <row r="76" spans="1:226" s="939" customFormat="1" ht="24.95" customHeight="1">
      <c r="A76" s="1508"/>
      <c r="B76" s="1510"/>
      <c r="C76" s="1512"/>
      <c r="D76" s="1514"/>
      <c r="E76" s="966" t="s">
        <v>939</v>
      </c>
      <c r="F76" s="958">
        <f>SUM(F77:F78)</f>
        <v>0</v>
      </c>
      <c r="G76" s="958">
        <f>SUM(G77:G78)</f>
        <v>0</v>
      </c>
      <c r="H76" s="958">
        <f>SUM(H77:H78)</f>
        <v>0</v>
      </c>
      <c r="I76" s="958">
        <f>SUM(I77:I78)</f>
        <v>0</v>
      </c>
      <c r="J76" s="959">
        <f>SUM(J77:J78)</f>
        <v>0</v>
      </c>
      <c r="K76" s="938"/>
    </row>
    <row r="77" spans="1:226" s="939" customFormat="1" ht="24.95" hidden="1" customHeight="1">
      <c r="A77" s="967"/>
      <c r="B77" s="968"/>
      <c r="C77" s="969"/>
      <c r="D77" s="970"/>
      <c r="E77" s="963"/>
      <c r="F77" s="964">
        <f>SUM(G77:J77)</f>
        <v>0</v>
      </c>
      <c r="G77" s="964"/>
      <c r="H77" s="964"/>
      <c r="I77" s="964"/>
      <c r="J77" s="965"/>
      <c r="K77" s="938"/>
    </row>
    <row r="78" spans="1:226" s="939" customFormat="1" ht="24.95" hidden="1" customHeight="1">
      <c r="A78" s="971"/>
      <c r="B78" s="972"/>
      <c r="C78" s="973"/>
      <c r="D78" s="974"/>
      <c r="E78" s="975"/>
      <c r="F78" s="964">
        <f>SUM(G78:J78)</f>
        <v>0</v>
      </c>
      <c r="G78" s="964"/>
      <c r="H78" s="964"/>
      <c r="I78" s="964"/>
      <c r="J78" s="965"/>
      <c r="K78" s="938"/>
    </row>
    <row r="79" spans="1:226" s="939" customFormat="1" ht="24.95" customHeight="1">
      <c r="A79" s="1519" t="s">
        <v>950</v>
      </c>
      <c r="B79" s="1500" t="s">
        <v>951</v>
      </c>
      <c r="C79" s="1501">
        <v>750</v>
      </c>
      <c r="D79" s="1502" t="s">
        <v>438</v>
      </c>
      <c r="E79" s="954" t="s">
        <v>937</v>
      </c>
      <c r="F79" s="955">
        <f>SUM(F80,F88)</f>
        <v>300000</v>
      </c>
      <c r="G79" s="955">
        <f>SUM(G80,G88)</f>
        <v>0</v>
      </c>
      <c r="H79" s="955">
        <f>SUM(H80,H88)</f>
        <v>0</v>
      </c>
      <c r="I79" s="955">
        <f>SUM(I80,I88)</f>
        <v>300000</v>
      </c>
      <c r="J79" s="956">
        <f>SUM(J80,J88)</f>
        <v>0</v>
      </c>
      <c r="K79" s="938"/>
    </row>
    <row r="80" spans="1:226" s="939" customFormat="1" ht="24.95" customHeight="1">
      <c r="A80" s="1519"/>
      <c r="B80" s="1500"/>
      <c r="C80" s="1501"/>
      <c r="D80" s="1502"/>
      <c r="E80" s="957" t="s">
        <v>943</v>
      </c>
      <c r="F80" s="958">
        <f>SUM(F81,F85)</f>
        <v>300000</v>
      </c>
      <c r="G80" s="958">
        <f>SUM(G81,G85)</f>
        <v>0</v>
      </c>
      <c r="H80" s="958">
        <f>SUM(H81,H85)</f>
        <v>0</v>
      </c>
      <c r="I80" s="958">
        <f>SUM(I81,I85)</f>
        <v>300000</v>
      </c>
      <c r="J80" s="959">
        <f>SUM(J81,J85)</f>
        <v>0</v>
      </c>
      <c r="K80" s="938"/>
    </row>
    <row r="81" spans="1:226" s="939" customFormat="1" ht="24.95" customHeight="1">
      <c r="A81" s="1519"/>
      <c r="B81" s="1500"/>
      <c r="C81" s="1501"/>
      <c r="D81" s="1502"/>
      <c r="E81" s="960" t="s">
        <v>944</v>
      </c>
      <c r="F81" s="961">
        <f>SUM(F82:F84)</f>
        <v>235000</v>
      </c>
      <c r="G81" s="961">
        <f>SUM(G82:G84)</f>
        <v>0</v>
      </c>
      <c r="H81" s="961">
        <f>SUM(H82:H84)</f>
        <v>0</v>
      </c>
      <c r="I81" s="961">
        <f>SUM(I82:I84)</f>
        <v>235000</v>
      </c>
      <c r="J81" s="962">
        <f>SUM(J82:J84)</f>
        <v>0</v>
      </c>
      <c r="K81" s="938"/>
    </row>
    <row r="82" spans="1:226" s="939" customFormat="1" ht="15" customHeight="1">
      <c r="A82" s="1519"/>
      <c r="B82" s="1500"/>
      <c r="C82" s="1501"/>
      <c r="D82" s="1502"/>
      <c r="E82" s="963" t="s">
        <v>295</v>
      </c>
      <c r="F82" s="964">
        <f>SUM(G82:J82)</f>
        <v>9050</v>
      </c>
      <c r="G82" s="964"/>
      <c r="H82" s="964"/>
      <c r="I82" s="964">
        <v>9050</v>
      </c>
      <c r="J82" s="965"/>
      <c r="K82" s="938"/>
    </row>
    <row r="83" spans="1:226" s="939" customFormat="1" ht="15" customHeight="1">
      <c r="A83" s="1519"/>
      <c r="B83" s="1500"/>
      <c r="C83" s="1501"/>
      <c r="D83" s="1502"/>
      <c r="E83" s="963" t="s">
        <v>297</v>
      </c>
      <c r="F83" s="964">
        <f>SUM(G83:J83)</f>
        <v>1300</v>
      </c>
      <c r="G83" s="964"/>
      <c r="H83" s="964"/>
      <c r="I83" s="964">
        <v>1300</v>
      </c>
      <c r="J83" s="965"/>
      <c r="K83" s="938"/>
    </row>
    <row r="84" spans="1:226" s="939" customFormat="1" ht="15" customHeight="1">
      <c r="A84" s="1519"/>
      <c r="B84" s="1500"/>
      <c r="C84" s="1501"/>
      <c r="D84" s="1502"/>
      <c r="E84" s="963" t="s">
        <v>299</v>
      </c>
      <c r="F84" s="964">
        <f>SUM(G84:J84)</f>
        <v>224650</v>
      </c>
      <c r="G84" s="964"/>
      <c r="H84" s="964"/>
      <c r="I84" s="964">
        <v>224650</v>
      </c>
      <c r="J84" s="965"/>
      <c r="K84" s="938"/>
      <c r="L84" s="938"/>
      <c r="M84" s="938"/>
      <c r="N84" s="938"/>
      <c r="O84" s="938"/>
      <c r="P84" s="938"/>
      <c r="Q84" s="938"/>
      <c r="R84" s="938"/>
      <c r="S84" s="938"/>
      <c r="T84" s="938"/>
      <c r="U84" s="938"/>
      <c r="V84" s="938"/>
      <c r="W84" s="938"/>
      <c r="X84" s="938"/>
      <c r="Y84" s="938"/>
      <c r="Z84" s="938"/>
      <c r="AA84" s="938"/>
      <c r="AB84" s="938"/>
      <c r="AC84" s="938"/>
      <c r="AD84" s="938"/>
      <c r="AE84" s="938"/>
      <c r="AF84" s="938"/>
      <c r="AG84" s="938"/>
      <c r="AH84" s="938"/>
      <c r="AI84" s="938"/>
      <c r="AJ84" s="938"/>
      <c r="AK84" s="938"/>
      <c r="AL84" s="938"/>
      <c r="AM84" s="938"/>
      <c r="AN84" s="938"/>
      <c r="AO84" s="938"/>
      <c r="AP84" s="938"/>
      <c r="AQ84" s="938"/>
      <c r="AR84" s="938"/>
      <c r="AS84" s="938"/>
      <c r="AT84" s="938"/>
      <c r="AU84" s="938"/>
      <c r="AV84" s="938"/>
      <c r="AW84" s="938"/>
      <c r="AX84" s="938"/>
      <c r="AY84" s="938"/>
      <c r="AZ84" s="938"/>
      <c r="BA84" s="938"/>
      <c r="BB84" s="938"/>
      <c r="BC84" s="938"/>
      <c r="BD84" s="938"/>
      <c r="BE84" s="938"/>
      <c r="BF84" s="938"/>
      <c r="BG84" s="938"/>
      <c r="BH84" s="938"/>
      <c r="BI84" s="938"/>
      <c r="BJ84" s="938"/>
      <c r="BK84" s="938"/>
      <c r="BL84" s="938"/>
      <c r="BM84" s="938"/>
      <c r="BN84" s="938"/>
      <c r="BO84" s="938"/>
      <c r="BP84" s="938"/>
      <c r="BQ84" s="938"/>
      <c r="BR84" s="938"/>
      <c r="BS84" s="938"/>
      <c r="BT84" s="938"/>
      <c r="BU84" s="938"/>
      <c r="BV84" s="938"/>
      <c r="BW84" s="938"/>
      <c r="BX84" s="938"/>
      <c r="BY84" s="938"/>
      <c r="BZ84" s="938"/>
      <c r="CA84" s="938"/>
      <c r="CB84" s="938"/>
      <c r="CC84" s="938"/>
      <c r="CD84" s="938"/>
      <c r="CE84" s="938"/>
      <c r="CF84" s="938"/>
      <c r="CG84" s="938"/>
      <c r="CH84" s="938"/>
      <c r="CI84" s="938"/>
      <c r="CJ84" s="938"/>
      <c r="CK84" s="938"/>
      <c r="CL84" s="938"/>
      <c r="CM84" s="938"/>
      <c r="CN84" s="938"/>
      <c r="CO84" s="938"/>
      <c r="CP84" s="938"/>
      <c r="CQ84" s="938"/>
      <c r="CR84" s="938"/>
      <c r="CS84" s="938"/>
      <c r="CT84" s="938"/>
      <c r="CU84" s="938"/>
      <c r="CV84" s="938"/>
      <c r="CW84" s="938"/>
      <c r="CX84" s="938"/>
      <c r="CY84" s="938"/>
      <c r="CZ84" s="938"/>
      <c r="DA84" s="938"/>
      <c r="DB84" s="938"/>
      <c r="DC84" s="938"/>
      <c r="DD84" s="938"/>
      <c r="DE84" s="938"/>
      <c r="DF84" s="938"/>
      <c r="DG84" s="938"/>
      <c r="DH84" s="938"/>
      <c r="DI84" s="938"/>
      <c r="DJ84" s="938"/>
      <c r="DK84" s="938"/>
      <c r="DL84" s="938"/>
      <c r="DM84" s="938"/>
      <c r="DN84" s="938"/>
      <c r="DO84" s="938"/>
      <c r="DP84" s="938"/>
      <c r="DQ84" s="938"/>
      <c r="DR84" s="938"/>
      <c r="DS84" s="938"/>
      <c r="DT84" s="938"/>
      <c r="DU84" s="938"/>
      <c r="DV84" s="938"/>
      <c r="DW84" s="938"/>
      <c r="DX84" s="938"/>
      <c r="DY84" s="938"/>
      <c r="DZ84" s="938"/>
      <c r="EA84" s="938"/>
      <c r="EB84" s="938"/>
      <c r="EC84" s="938"/>
      <c r="ED84" s="938"/>
      <c r="EE84" s="938"/>
      <c r="EF84" s="938"/>
      <c r="EG84" s="938"/>
      <c r="EH84" s="938"/>
      <c r="EI84" s="938"/>
      <c r="EJ84" s="938"/>
      <c r="EK84" s="938"/>
      <c r="EL84" s="938"/>
      <c r="EM84" s="938"/>
      <c r="EN84" s="938"/>
      <c r="EO84" s="938"/>
      <c r="EP84" s="938"/>
      <c r="EQ84" s="938"/>
      <c r="ER84" s="938"/>
      <c r="ES84" s="938"/>
      <c r="ET84" s="938"/>
      <c r="EU84" s="938"/>
      <c r="EV84" s="938"/>
      <c r="EW84" s="938"/>
      <c r="EX84" s="938"/>
      <c r="EY84" s="938"/>
      <c r="EZ84" s="938"/>
      <c r="FA84" s="938"/>
      <c r="FB84" s="938"/>
      <c r="FC84" s="938"/>
      <c r="FD84" s="938"/>
      <c r="FE84" s="938"/>
      <c r="FF84" s="938"/>
      <c r="FG84" s="938"/>
      <c r="FH84" s="938"/>
      <c r="FI84" s="938"/>
      <c r="FJ84" s="938"/>
      <c r="FK84" s="938"/>
      <c r="FL84" s="938"/>
      <c r="FM84" s="938"/>
      <c r="FN84" s="938"/>
      <c r="FO84" s="938"/>
      <c r="FP84" s="938"/>
      <c r="FQ84" s="938"/>
      <c r="FR84" s="938"/>
      <c r="FS84" s="938"/>
      <c r="FT84" s="938"/>
      <c r="FU84" s="938"/>
      <c r="FV84" s="938"/>
      <c r="FW84" s="938"/>
      <c r="FX84" s="938"/>
      <c r="FY84" s="938"/>
      <c r="FZ84" s="938"/>
      <c r="GA84" s="938"/>
      <c r="GB84" s="938"/>
      <c r="GC84" s="938"/>
      <c r="GD84" s="938"/>
      <c r="GE84" s="938"/>
      <c r="GF84" s="938"/>
      <c r="GG84" s="938"/>
      <c r="GH84" s="938"/>
      <c r="GI84" s="938"/>
      <c r="GJ84" s="938"/>
      <c r="GK84" s="938"/>
      <c r="GL84" s="938"/>
      <c r="GM84" s="938"/>
      <c r="GN84" s="938"/>
      <c r="GO84" s="938"/>
      <c r="GP84" s="938"/>
      <c r="GQ84" s="938"/>
      <c r="GR84" s="938"/>
      <c r="GS84" s="938"/>
      <c r="GT84" s="938"/>
      <c r="GU84" s="938"/>
      <c r="GV84" s="938"/>
      <c r="GW84" s="938"/>
      <c r="GX84" s="938"/>
      <c r="GY84" s="938"/>
      <c r="GZ84" s="938"/>
      <c r="HA84" s="938"/>
      <c r="HB84" s="938"/>
      <c r="HC84" s="938"/>
      <c r="HD84" s="938"/>
      <c r="HE84" s="938"/>
      <c r="HF84" s="938"/>
      <c r="HG84" s="938"/>
      <c r="HH84" s="938"/>
      <c r="HI84" s="938"/>
      <c r="HJ84" s="938"/>
      <c r="HK84" s="938"/>
      <c r="HL84" s="938"/>
      <c r="HM84" s="938"/>
      <c r="HN84" s="938"/>
      <c r="HO84" s="938"/>
      <c r="HP84" s="938"/>
      <c r="HQ84" s="938"/>
      <c r="HR84" s="938"/>
    </row>
    <row r="85" spans="1:226" s="939" customFormat="1" ht="24.95" customHeight="1">
      <c r="A85" s="1519"/>
      <c r="B85" s="1500"/>
      <c r="C85" s="1501"/>
      <c r="D85" s="1502"/>
      <c r="E85" s="960" t="s">
        <v>945</v>
      </c>
      <c r="F85" s="961">
        <f>SUM(F86:F87)</f>
        <v>65000</v>
      </c>
      <c r="G85" s="961">
        <f>SUM(G86:G87)</f>
        <v>0</v>
      </c>
      <c r="H85" s="961">
        <f>SUM(H86:H87)</f>
        <v>0</v>
      </c>
      <c r="I85" s="961">
        <f>SUM(I86:I87)</f>
        <v>65000</v>
      </c>
      <c r="J85" s="962">
        <f>SUM(J86:J87)</f>
        <v>0</v>
      </c>
      <c r="K85" s="938"/>
    </row>
    <row r="86" spans="1:226" s="939" customFormat="1" ht="15" customHeight="1">
      <c r="A86" s="1519"/>
      <c r="B86" s="1500"/>
      <c r="C86" s="1501"/>
      <c r="D86" s="1502"/>
      <c r="E86" s="963" t="s">
        <v>303</v>
      </c>
      <c r="F86" s="964">
        <f>SUM(G86:J86)</f>
        <v>15000</v>
      </c>
      <c r="G86" s="964"/>
      <c r="H86" s="964"/>
      <c r="I86" s="964">
        <v>15000</v>
      </c>
      <c r="J86" s="965"/>
      <c r="K86" s="938"/>
    </row>
    <row r="87" spans="1:226" s="939" customFormat="1" ht="15" customHeight="1">
      <c r="A87" s="1519"/>
      <c r="B87" s="1500"/>
      <c r="C87" s="1501"/>
      <c r="D87" s="1502"/>
      <c r="E87" s="963" t="s">
        <v>450</v>
      </c>
      <c r="F87" s="964">
        <f>SUM(G87:J87)</f>
        <v>50000</v>
      </c>
      <c r="G87" s="964"/>
      <c r="H87" s="964"/>
      <c r="I87" s="964">
        <v>50000</v>
      </c>
      <c r="J87" s="965"/>
      <c r="K87" s="938"/>
    </row>
    <row r="88" spans="1:226" s="939" customFormat="1" ht="20.100000000000001" customHeight="1">
      <c r="A88" s="1519"/>
      <c r="B88" s="1500"/>
      <c r="C88" s="1501"/>
      <c r="D88" s="1502"/>
      <c r="E88" s="966" t="s">
        <v>939</v>
      </c>
      <c r="F88" s="958">
        <f>SUM(F89:F90)</f>
        <v>0</v>
      </c>
      <c r="G88" s="958">
        <f>SUM(G89:G90)</f>
        <v>0</v>
      </c>
      <c r="H88" s="958">
        <f>SUM(H89:H90)</f>
        <v>0</v>
      </c>
      <c r="I88" s="958">
        <f>SUM(I89:I90)</f>
        <v>0</v>
      </c>
      <c r="J88" s="959">
        <f>SUM(J89:J90)</f>
        <v>0</v>
      </c>
      <c r="K88" s="938"/>
    </row>
    <row r="89" spans="1:226" s="939" customFormat="1" ht="15" hidden="1" customHeight="1">
      <c r="A89" s="1519"/>
      <c r="B89" s="1500"/>
      <c r="C89" s="1501"/>
      <c r="D89" s="1502"/>
      <c r="E89" s="963"/>
      <c r="F89" s="964">
        <f>SUM(G89:J89)</f>
        <v>0</v>
      </c>
      <c r="G89" s="964"/>
      <c r="H89" s="964"/>
      <c r="I89" s="964"/>
      <c r="J89" s="965"/>
      <c r="K89" s="938"/>
    </row>
    <row r="90" spans="1:226" s="939" customFormat="1" ht="15" hidden="1" customHeight="1">
      <c r="A90" s="1519"/>
      <c r="B90" s="1500"/>
      <c r="C90" s="1501"/>
      <c r="D90" s="1502"/>
      <c r="E90" s="975"/>
      <c r="F90" s="964">
        <f>SUM(G90:J90)</f>
        <v>0</v>
      </c>
      <c r="G90" s="964"/>
      <c r="H90" s="964"/>
      <c r="I90" s="964"/>
      <c r="J90" s="965"/>
      <c r="K90" s="938"/>
    </row>
    <row r="91" spans="1:226" s="939" customFormat="1" ht="24.95" customHeight="1">
      <c r="A91" s="1519" t="s">
        <v>952</v>
      </c>
      <c r="B91" s="1500" t="s">
        <v>953</v>
      </c>
      <c r="C91" s="1501">
        <v>750</v>
      </c>
      <c r="D91" s="1502" t="s">
        <v>438</v>
      </c>
      <c r="E91" s="954" t="s">
        <v>937</v>
      </c>
      <c r="F91" s="955">
        <f>SUM(F92,F105)</f>
        <v>630000</v>
      </c>
      <c r="G91" s="955">
        <f>SUM(G92,G105)</f>
        <v>0</v>
      </c>
      <c r="H91" s="955">
        <f>SUM(H92,H105)</f>
        <v>0</v>
      </c>
      <c r="I91" s="955">
        <f>SUM(I92,I105)</f>
        <v>630000</v>
      </c>
      <c r="J91" s="956">
        <f>SUM(J92,J105)</f>
        <v>0</v>
      </c>
      <c r="K91" s="938"/>
    </row>
    <row r="92" spans="1:226" s="939" customFormat="1" ht="24.95" customHeight="1">
      <c r="A92" s="1519"/>
      <c r="B92" s="1500"/>
      <c r="C92" s="1501"/>
      <c r="D92" s="1502"/>
      <c r="E92" s="957" t="s">
        <v>943</v>
      </c>
      <c r="F92" s="958">
        <f>SUM(F93,F96)</f>
        <v>630000</v>
      </c>
      <c r="G92" s="958">
        <f>SUM(G93,G96)</f>
        <v>0</v>
      </c>
      <c r="H92" s="958">
        <f>SUM(H93,H96)</f>
        <v>0</v>
      </c>
      <c r="I92" s="958">
        <f>SUM(I93,I96)</f>
        <v>630000</v>
      </c>
      <c r="J92" s="959">
        <f>SUM(J93,J96)</f>
        <v>0</v>
      </c>
      <c r="K92" s="938"/>
    </row>
    <row r="93" spans="1:226" s="939" customFormat="1" ht="24.95" hidden="1" customHeight="1">
      <c r="A93" s="1519"/>
      <c r="B93" s="1500"/>
      <c r="C93" s="1501"/>
      <c r="D93" s="1502"/>
      <c r="E93" s="960" t="s">
        <v>944</v>
      </c>
      <c r="F93" s="961">
        <f>SUM(F94:F95)</f>
        <v>0</v>
      </c>
      <c r="G93" s="961">
        <f>SUM(G94:G95)</f>
        <v>0</v>
      </c>
      <c r="H93" s="961">
        <f>SUM(H94:H95)</f>
        <v>0</v>
      </c>
      <c r="I93" s="961">
        <f>SUM(I94:I95)</f>
        <v>0</v>
      </c>
      <c r="J93" s="962">
        <f>SUM(J94:J95)</f>
        <v>0</v>
      </c>
      <c r="K93" s="938"/>
    </row>
    <row r="94" spans="1:226" s="939" customFormat="1" ht="24.95" hidden="1" customHeight="1">
      <c r="A94" s="1519"/>
      <c r="B94" s="1500"/>
      <c r="C94" s="1501"/>
      <c r="D94" s="1502"/>
      <c r="E94" s="963"/>
      <c r="F94" s="964">
        <f>SUM(G94:J94)</f>
        <v>0</v>
      </c>
      <c r="G94" s="964"/>
      <c r="H94" s="964"/>
      <c r="I94" s="964"/>
      <c r="J94" s="965"/>
      <c r="K94" s="938"/>
    </row>
    <row r="95" spans="1:226" s="939" customFormat="1" ht="24.95" hidden="1" customHeight="1">
      <c r="A95" s="1519"/>
      <c r="B95" s="1500"/>
      <c r="C95" s="1501"/>
      <c r="D95" s="1502"/>
      <c r="E95" s="963"/>
      <c r="F95" s="964">
        <f>SUM(G95:J95)</f>
        <v>0</v>
      </c>
      <c r="G95" s="964"/>
      <c r="H95" s="964"/>
      <c r="I95" s="964"/>
      <c r="J95" s="965"/>
      <c r="K95" s="938"/>
    </row>
    <row r="96" spans="1:226" s="939" customFormat="1" ht="24.95" customHeight="1">
      <c r="A96" s="1519"/>
      <c r="B96" s="1500"/>
      <c r="C96" s="1501"/>
      <c r="D96" s="1502"/>
      <c r="E96" s="960" t="s">
        <v>945</v>
      </c>
      <c r="F96" s="961">
        <f>SUM(F97:F104)</f>
        <v>630000</v>
      </c>
      <c r="G96" s="961">
        <f>SUM(G97:G104)</f>
        <v>0</v>
      </c>
      <c r="H96" s="961">
        <f>SUM(H97:H104)</f>
        <v>0</v>
      </c>
      <c r="I96" s="961">
        <f>SUM(I97:I104)</f>
        <v>630000</v>
      </c>
      <c r="J96" s="962">
        <f>SUM(J97:J104)</f>
        <v>0</v>
      </c>
      <c r="K96" s="938"/>
    </row>
    <row r="97" spans="1:226" s="939" customFormat="1" ht="15" customHeight="1">
      <c r="A97" s="1519"/>
      <c r="B97" s="1500"/>
      <c r="C97" s="1501"/>
      <c r="D97" s="1502"/>
      <c r="E97" s="963" t="s">
        <v>301</v>
      </c>
      <c r="F97" s="964">
        <f t="shared" ref="F97:F104" si="2">SUM(G97:J97)</f>
        <v>75000</v>
      </c>
      <c r="G97" s="964"/>
      <c r="H97" s="964"/>
      <c r="I97" s="964">
        <v>75000</v>
      </c>
      <c r="J97" s="965"/>
      <c r="K97" s="938"/>
      <c r="L97" s="938"/>
      <c r="M97" s="938"/>
      <c r="N97" s="938"/>
      <c r="O97" s="938"/>
      <c r="P97" s="938"/>
      <c r="Q97" s="938"/>
      <c r="R97" s="938"/>
      <c r="S97" s="938"/>
      <c r="T97" s="938"/>
      <c r="U97" s="938"/>
      <c r="V97" s="938"/>
      <c r="W97" s="938"/>
      <c r="X97" s="938"/>
      <c r="Y97" s="938"/>
      <c r="Z97" s="938"/>
      <c r="AA97" s="938"/>
      <c r="AB97" s="938"/>
      <c r="AC97" s="938"/>
      <c r="AD97" s="938"/>
      <c r="AE97" s="938"/>
      <c r="AF97" s="938"/>
      <c r="AG97" s="938"/>
      <c r="AH97" s="938"/>
      <c r="AI97" s="938"/>
      <c r="AJ97" s="938"/>
      <c r="AK97" s="938"/>
      <c r="AL97" s="938"/>
      <c r="AM97" s="938"/>
      <c r="AN97" s="938"/>
      <c r="AO97" s="938"/>
      <c r="AP97" s="938"/>
      <c r="AQ97" s="938"/>
      <c r="AR97" s="938"/>
      <c r="AS97" s="938"/>
      <c r="AT97" s="938"/>
      <c r="AU97" s="938"/>
      <c r="AV97" s="938"/>
      <c r="AW97" s="938"/>
      <c r="AX97" s="938"/>
      <c r="AY97" s="938"/>
      <c r="AZ97" s="938"/>
      <c r="BA97" s="938"/>
      <c r="BB97" s="938"/>
      <c r="BC97" s="938"/>
      <c r="BD97" s="938"/>
      <c r="BE97" s="938"/>
      <c r="BF97" s="938"/>
      <c r="BG97" s="938"/>
      <c r="BH97" s="938"/>
      <c r="BI97" s="938"/>
      <c r="BJ97" s="938"/>
      <c r="BK97" s="938"/>
      <c r="BL97" s="938"/>
      <c r="BM97" s="938"/>
      <c r="BN97" s="938"/>
      <c r="BO97" s="938"/>
      <c r="BP97" s="938"/>
      <c r="BQ97" s="938"/>
      <c r="BR97" s="938"/>
      <c r="BS97" s="938"/>
      <c r="BT97" s="938"/>
      <c r="BU97" s="938"/>
      <c r="BV97" s="938"/>
      <c r="BW97" s="938"/>
      <c r="BX97" s="938"/>
      <c r="BY97" s="938"/>
      <c r="BZ97" s="938"/>
      <c r="CA97" s="938"/>
      <c r="CB97" s="938"/>
      <c r="CC97" s="938"/>
      <c r="CD97" s="938"/>
      <c r="CE97" s="938"/>
      <c r="CF97" s="938"/>
      <c r="CG97" s="938"/>
      <c r="CH97" s="938"/>
      <c r="CI97" s="938"/>
      <c r="CJ97" s="938"/>
      <c r="CK97" s="938"/>
      <c r="CL97" s="938"/>
      <c r="CM97" s="938"/>
      <c r="CN97" s="938"/>
      <c r="CO97" s="938"/>
      <c r="CP97" s="938"/>
      <c r="CQ97" s="938"/>
      <c r="CR97" s="938"/>
      <c r="CS97" s="938"/>
      <c r="CT97" s="938"/>
      <c r="CU97" s="938"/>
      <c r="CV97" s="938"/>
      <c r="CW97" s="938"/>
      <c r="CX97" s="938"/>
      <c r="CY97" s="938"/>
      <c r="CZ97" s="938"/>
      <c r="DA97" s="938"/>
      <c r="DB97" s="938"/>
      <c r="DC97" s="938"/>
      <c r="DD97" s="938"/>
      <c r="DE97" s="938"/>
      <c r="DF97" s="938"/>
      <c r="DG97" s="938"/>
      <c r="DH97" s="938"/>
      <c r="DI97" s="938"/>
      <c r="DJ97" s="938"/>
      <c r="DK97" s="938"/>
      <c r="DL97" s="938"/>
      <c r="DM97" s="938"/>
      <c r="DN97" s="938"/>
      <c r="DO97" s="938"/>
      <c r="DP97" s="938"/>
      <c r="DQ97" s="938"/>
      <c r="DR97" s="938"/>
      <c r="DS97" s="938"/>
      <c r="DT97" s="938"/>
      <c r="DU97" s="938"/>
      <c r="DV97" s="938"/>
      <c r="DW97" s="938"/>
      <c r="DX97" s="938"/>
      <c r="DY97" s="938"/>
      <c r="DZ97" s="938"/>
      <c r="EA97" s="938"/>
      <c r="EB97" s="938"/>
      <c r="EC97" s="938"/>
      <c r="ED97" s="938"/>
      <c r="EE97" s="938"/>
      <c r="EF97" s="938"/>
      <c r="EG97" s="938"/>
      <c r="EH97" s="938"/>
      <c r="EI97" s="938"/>
      <c r="EJ97" s="938"/>
      <c r="EK97" s="938"/>
      <c r="EL97" s="938"/>
      <c r="EM97" s="938"/>
      <c r="EN97" s="938"/>
      <c r="EO97" s="938"/>
      <c r="EP97" s="938"/>
      <c r="EQ97" s="938"/>
      <c r="ER97" s="938"/>
      <c r="ES97" s="938"/>
      <c r="ET97" s="938"/>
      <c r="EU97" s="938"/>
      <c r="EV97" s="938"/>
      <c r="EW97" s="938"/>
      <c r="EX97" s="938"/>
      <c r="EY97" s="938"/>
      <c r="EZ97" s="938"/>
      <c r="FA97" s="938"/>
      <c r="FB97" s="938"/>
      <c r="FC97" s="938"/>
      <c r="FD97" s="938"/>
      <c r="FE97" s="938"/>
      <c r="FF97" s="938"/>
      <c r="FG97" s="938"/>
      <c r="FH97" s="938"/>
      <c r="FI97" s="938"/>
      <c r="FJ97" s="938"/>
      <c r="FK97" s="938"/>
      <c r="FL97" s="938"/>
      <c r="FM97" s="938"/>
      <c r="FN97" s="938"/>
      <c r="FO97" s="938"/>
      <c r="FP97" s="938"/>
      <c r="FQ97" s="938"/>
      <c r="FR97" s="938"/>
      <c r="FS97" s="938"/>
      <c r="FT97" s="938"/>
      <c r="FU97" s="938"/>
      <c r="FV97" s="938"/>
      <c r="FW97" s="938"/>
      <c r="FX97" s="938"/>
      <c r="FY97" s="938"/>
      <c r="FZ97" s="938"/>
      <c r="GA97" s="938"/>
      <c r="GB97" s="938"/>
      <c r="GC97" s="938"/>
      <c r="GD97" s="938"/>
      <c r="GE97" s="938"/>
      <c r="GF97" s="938"/>
      <c r="GG97" s="938"/>
      <c r="GH97" s="938"/>
      <c r="GI97" s="938"/>
      <c r="GJ97" s="938"/>
      <c r="GK97" s="938"/>
      <c r="GL97" s="938"/>
      <c r="GM97" s="938"/>
      <c r="GN97" s="938"/>
      <c r="GO97" s="938"/>
      <c r="GP97" s="938"/>
      <c r="GQ97" s="938"/>
      <c r="GR97" s="938"/>
      <c r="GS97" s="938"/>
      <c r="GT97" s="938"/>
      <c r="GU97" s="938"/>
      <c r="GV97" s="938"/>
      <c r="GW97" s="938"/>
      <c r="GX97" s="938"/>
      <c r="GY97" s="938"/>
      <c r="GZ97" s="938"/>
      <c r="HA97" s="938"/>
      <c r="HB97" s="938"/>
      <c r="HC97" s="938"/>
      <c r="HD97" s="938"/>
      <c r="HE97" s="938"/>
      <c r="HF97" s="938"/>
      <c r="HG97" s="938"/>
      <c r="HH97" s="938"/>
      <c r="HI97" s="938"/>
      <c r="HJ97" s="938"/>
      <c r="HK97" s="938"/>
      <c r="HL97" s="938"/>
      <c r="HM97" s="938"/>
      <c r="HN97" s="938"/>
      <c r="HO97" s="938"/>
      <c r="HP97" s="938"/>
      <c r="HQ97" s="938"/>
      <c r="HR97" s="938"/>
    </row>
    <row r="98" spans="1:226" s="939" customFormat="1" ht="15" customHeight="1">
      <c r="A98" s="1519"/>
      <c r="B98" s="1500"/>
      <c r="C98" s="1501"/>
      <c r="D98" s="1502"/>
      <c r="E98" s="963" t="s">
        <v>303</v>
      </c>
      <c r="F98" s="964">
        <f t="shared" si="2"/>
        <v>555000</v>
      </c>
      <c r="G98" s="964"/>
      <c r="H98" s="964"/>
      <c r="I98" s="964">
        <v>555000</v>
      </c>
      <c r="J98" s="965"/>
      <c r="K98" s="938"/>
    </row>
    <row r="99" spans="1:226" s="939" customFormat="1" ht="15" hidden="1" customHeight="1">
      <c r="A99" s="1519"/>
      <c r="B99" s="1500"/>
      <c r="C99" s="1501"/>
      <c r="D99" s="1502"/>
      <c r="E99" s="963" t="s">
        <v>307</v>
      </c>
      <c r="F99" s="964">
        <f t="shared" si="2"/>
        <v>0</v>
      </c>
      <c r="G99" s="964"/>
      <c r="H99" s="964"/>
      <c r="I99" s="964"/>
      <c r="J99" s="965"/>
      <c r="K99" s="938"/>
    </row>
    <row r="100" spans="1:226" s="939" customFormat="1" ht="15" hidden="1" customHeight="1">
      <c r="A100" s="1519"/>
      <c r="B100" s="1500"/>
      <c r="C100" s="1501"/>
      <c r="D100" s="1502"/>
      <c r="E100" s="963" t="s">
        <v>448</v>
      </c>
      <c r="F100" s="964">
        <f t="shared" si="2"/>
        <v>0</v>
      </c>
      <c r="G100" s="964"/>
      <c r="H100" s="964"/>
      <c r="I100" s="964"/>
      <c r="J100" s="965"/>
      <c r="K100" s="938"/>
    </row>
    <row r="101" spans="1:226" s="939" customFormat="1" ht="15" hidden="1" customHeight="1">
      <c r="A101" s="1519"/>
      <c r="B101" s="1500"/>
      <c r="C101" s="1501"/>
      <c r="D101" s="1502"/>
      <c r="E101" s="963" t="s">
        <v>309</v>
      </c>
      <c r="F101" s="964">
        <f t="shared" si="2"/>
        <v>0</v>
      </c>
      <c r="G101" s="964"/>
      <c r="H101" s="964"/>
      <c r="I101" s="964"/>
      <c r="J101" s="965"/>
      <c r="K101" s="938"/>
    </row>
    <row r="102" spans="1:226" s="939" customFormat="1" ht="15" hidden="1" customHeight="1">
      <c r="A102" s="1519"/>
      <c r="B102" s="1500"/>
      <c r="C102" s="1501"/>
      <c r="D102" s="1502"/>
      <c r="E102" s="963" t="s">
        <v>313</v>
      </c>
      <c r="F102" s="964">
        <f t="shared" si="2"/>
        <v>0</v>
      </c>
      <c r="G102" s="964"/>
      <c r="H102" s="964"/>
      <c r="I102" s="964"/>
      <c r="J102" s="965"/>
      <c r="K102" s="938"/>
    </row>
    <row r="103" spans="1:226" s="939" customFormat="1" ht="15" hidden="1" customHeight="1">
      <c r="A103" s="1519"/>
      <c r="B103" s="1500"/>
      <c r="C103" s="1501"/>
      <c r="D103" s="1502"/>
      <c r="E103" s="963" t="s">
        <v>954</v>
      </c>
      <c r="F103" s="964">
        <f t="shared" si="2"/>
        <v>0</v>
      </c>
      <c r="G103" s="964"/>
      <c r="H103" s="964"/>
      <c r="I103" s="964"/>
      <c r="J103" s="965"/>
      <c r="K103" s="938"/>
    </row>
    <row r="104" spans="1:226" s="939" customFormat="1" ht="15" hidden="1" customHeight="1">
      <c r="A104" s="1519"/>
      <c r="B104" s="1500"/>
      <c r="C104" s="1501"/>
      <c r="D104" s="1502"/>
      <c r="E104" s="963" t="s">
        <v>955</v>
      </c>
      <c r="F104" s="964">
        <f t="shared" si="2"/>
        <v>0</v>
      </c>
      <c r="G104" s="964"/>
      <c r="H104" s="964"/>
      <c r="I104" s="964"/>
      <c r="J104" s="965"/>
      <c r="K104" s="938"/>
    </row>
    <row r="105" spans="1:226" s="939" customFormat="1" ht="20.100000000000001" customHeight="1">
      <c r="A105" s="1519"/>
      <c r="B105" s="1500"/>
      <c r="C105" s="1501"/>
      <c r="D105" s="1502"/>
      <c r="E105" s="966" t="s">
        <v>939</v>
      </c>
      <c r="F105" s="958">
        <f>SUM(F106:F106)</f>
        <v>0</v>
      </c>
      <c r="G105" s="958">
        <f>SUM(G106:G106)</f>
        <v>0</v>
      </c>
      <c r="H105" s="958">
        <f>SUM(H106:H106)</f>
        <v>0</v>
      </c>
      <c r="I105" s="958">
        <f>SUM(I106:I106)</f>
        <v>0</v>
      </c>
      <c r="J105" s="959">
        <f>SUM(J106:J106)</f>
        <v>0</v>
      </c>
      <c r="K105" s="938"/>
    </row>
    <row r="106" spans="1:226" s="939" customFormat="1" ht="15" hidden="1" customHeight="1">
      <c r="A106" s="1519"/>
      <c r="B106" s="1500"/>
      <c r="C106" s="1501"/>
      <c r="D106" s="1502"/>
      <c r="E106" s="963" t="s">
        <v>319</v>
      </c>
      <c r="F106" s="964">
        <f>SUM(G106:J106)</f>
        <v>0</v>
      </c>
      <c r="G106" s="964"/>
      <c r="H106" s="964"/>
      <c r="I106" s="964"/>
      <c r="J106" s="965"/>
      <c r="K106" s="938"/>
    </row>
    <row r="107" spans="1:226" s="939" customFormat="1" ht="24.95" customHeight="1">
      <c r="A107" s="1519" t="s">
        <v>956</v>
      </c>
      <c r="B107" s="1500" t="s">
        <v>957</v>
      </c>
      <c r="C107" s="1501">
        <v>750</v>
      </c>
      <c r="D107" s="1502" t="s">
        <v>438</v>
      </c>
      <c r="E107" s="954" t="s">
        <v>937</v>
      </c>
      <c r="F107" s="955">
        <f>SUM(F108,F115)</f>
        <v>80000</v>
      </c>
      <c r="G107" s="955">
        <f>SUM(G108,G115)</f>
        <v>0</v>
      </c>
      <c r="H107" s="955">
        <f>SUM(H108,H115)</f>
        <v>0</v>
      </c>
      <c r="I107" s="955">
        <f>SUM(I108,I115)</f>
        <v>80000</v>
      </c>
      <c r="J107" s="956">
        <f>SUM(J108,J115)</f>
        <v>0</v>
      </c>
      <c r="K107" s="938"/>
    </row>
    <row r="108" spans="1:226" s="939" customFormat="1" ht="24.95" customHeight="1">
      <c r="A108" s="1519"/>
      <c r="B108" s="1500"/>
      <c r="C108" s="1501"/>
      <c r="D108" s="1502"/>
      <c r="E108" s="957" t="s">
        <v>943</v>
      </c>
      <c r="F108" s="958">
        <f>SUM(F109,F112)</f>
        <v>80000</v>
      </c>
      <c r="G108" s="958">
        <f>SUM(G109,G112)</f>
        <v>0</v>
      </c>
      <c r="H108" s="958">
        <f>SUM(H109,H112)</f>
        <v>0</v>
      </c>
      <c r="I108" s="958">
        <f>SUM(I109,I112)</f>
        <v>80000</v>
      </c>
      <c r="J108" s="959">
        <f>SUM(J109,J112)</f>
        <v>0</v>
      </c>
      <c r="K108" s="938"/>
    </row>
    <row r="109" spans="1:226" s="939" customFormat="1" ht="24.95" customHeight="1">
      <c r="A109" s="1519"/>
      <c r="B109" s="1500"/>
      <c r="C109" s="1501"/>
      <c r="D109" s="1502"/>
      <c r="E109" s="960" t="s">
        <v>944</v>
      </c>
      <c r="F109" s="961">
        <f>SUM(F110:F111)</f>
        <v>30000</v>
      </c>
      <c r="G109" s="961">
        <f>SUM(G110:G111)</f>
        <v>0</v>
      </c>
      <c r="H109" s="961">
        <f>SUM(H110:H111)</f>
        <v>0</v>
      </c>
      <c r="I109" s="961">
        <f>SUM(I110:I111)</f>
        <v>30000</v>
      </c>
      <c r="J109" s="962">
        <f>SUM(J110:J111)</f>
        <v>0</v>
      </c>
      <c r="K109" s="938"/>
      <c r="L109" s="938"/>
      <c r="M109" s="938"/>
      <c r="N109" s="938"/>
      <c r="O109" s="938"/>
      <c r="P109" s="938"/>
      <c r="Q109" s="938"/>
      <c r="R109" s="938"/>
      <c r="S109" s="938"/>
      <c r="T109" s="938"/>
      <c r="U109" s="938"/>
      <c r="V109" s="938"/>
      <c r="W109" s="938"/>
      <c r="X109" s="938"/>
      <c r="Y109" s="938"/>
      <c r="Z109" s="938"/>
      <c r="AA109" s="938"/>
      <c r="AB109" s="938"/>
      <c r="AC109" s="938"/>
      <c r="AD109" s="938"/>
      <c r="AE109" s="938"/>
      <c r="AF109" s="938"/>
      <c r="AG109" s="938"/>
      <c r="AH109" s="938"/>
      <c r="AI109" s="938"/>
      <c r="AJ109" s="938"/>
      <c r="AK109" s="938"/>
      <c r="AL109" s="938"/>
      <c r="AM109" s="938"/>
      <c r="AN109" s="938"/>
      <c r="AO109" s="938"/>
      <c r="AP109" s="938"/>
      <c r="AQ109" s="938"/>
      <c r="AR109" s="938"/>
      <c r="AS109" s="938"/>
      <c r="AT109" s="938"/>
      <c r="AU109" s="938"/>
      <c r="AV109" s="938"/>
      <c r="AW109" s="938"/>
      <c r="AX109" s="938"/>
      <c r="AY109" s="938"/>
      <c r="AZ109" s="938"/>
      <c r="BA109" s="938"/>
      <c r="BB109" s="938"/>
      <c r="BC109" s="938"/>
      <c r="BD109" s="938"/>
      <c r="BE109" s="938"/>
      <c r="BF109" s="938"/>
      <c r="BG109" s="938"/>
      <c r="BH109" s="938"/>
      <c r="BI109" s="938"/>
      <c r="BJ109" s="938"/>
      <c r="BK109" s="938"/>
      <c r="BL109" s="938"/>
      <c r="BM109" s="938"/>
      <c r="BN109" s="938"/>
      <c r="BO109" s="938"/>
      <c r="BP109" s="938"/>
      <c r="BQ109" s="938"/>
      <c r="BR109" s="938"/>
      <c r="BS109" s="938"/>
      <c r="BT109" s="938"/>
      <c r="BU109" s="938"/>
      <c r="BV109" s="938"/>
      <c r="BW109" s="938"/>
      <c r="BX109" s="938"/>
      <c r="BY109" s="938"/>
      <c r="BZ109" s="938"/>
      <c r="CA109" s="938"/>
      <c r="CB109" s="938"/>
      <c r="CC109" s="938"/>
      <c r="CD109" s="938"/>
      <c r="CE109" s="938"/>
      <c r="CF109" s="938"/>
      <c r="CG109" s="938"/>
      <c r="CH109" s="938"/>
      <c r="CI109" s="938"/>
      <c r="CJ109" s="938"/>
      <c r="CK109" s="938"/>
      <c r="CL109" s="938"/>
      <c r="CM109" s="938"/>
      <c r="CN109" s="938"/>
      <c r="CO109" s="938"/>
      <c r="CP109" s="938"/>
      <c r="CQ109" s="938"/>
      <c r="CR109" s="938"/>
      <c r="CS109" s="938"/>
      <c r="CT109" s="938"/>
      <c r="CU109" s="938"/>
      <c r="CV109" s="938"/>
      <c r="CW109" s="938"/>
      <c r="CX109" s="938"/>
      <c r="CY109" s="938"/>
      <c r="CZ109" s="938"/>
      <c r="DA109" s="938"/>
      <c r="DB109" s="938"/>
      <c r="DC109" s="938"/>
      <c r="DD109" s="938"/>
      <c r="DE109" s="938"/>
      <c r="DF109" s="938"/>
      <c r="DG109" s="938"/>
      <c r="DH109" s="938"/>
      <c r="DI109" s="938"/>
      <c r="DJ109" s="938"/>
      <c r="DK109" s="938"/>
      <c r="DL109" s="938"/>
      <c r="DM109" s="938"/>
      <c r="DN109" s="938"/>
      <c r="DO109" s="938"/>
      <c r="DP109" s="938"/>
      <c r="DQ109" s="938"/>
      <c r="DR109" s="938"/>
      <c r="DS109" s="938"/>
      <c r="DT109" s="938"/>
      <c r="DU109" s="938"/>
      <c r="DV109" s="938"/>
      <c r="DW109" s="938"/>
      <c r="DX109" s="938"/>
      <c r="DY109" s="938"/>
      <c r="DZ109" s="938"/>
      <c r="EA109" s="938"/>
      <c r="EB109" s="938"/>
      <c r="EC109" s="938"/>
      <c r="ED109" s="938"/>
      <c r="EE109" s="938"/>
      <c r="EF109" s="938"/>
      <c r="EG109" s="938"/>
      <c r="EH109" s="938"/>
      <c r="EI109" s="938"/>
      <c r="EJ109" s="938"/>
      <c r="EK109" s="938"/>
      <c r="EL109" s="938"/>
      <c r="EM109" s="938"/>
      <c r="EN109" s="938"/>
      <c r="EO109" s="938"/>
      <c r="EP109" s="938"/>
      <c r="EQ109" s="938"/>
      <c r="ER109" s="938"/>
      <c r="ES109" s="938"/>
      <c r="ET109" s="938"/>
      <c r="EU109" s="938"/>
      <c r="EV109" s="938"/>
      <c r="EW109" s="938"/>
      <c r="EX109" s="938"/>
      <c r="EY109" s="938"/>
      <c r="EZ109" s="938"/>
      <c r="FA109" s="938"/>
      <c r="FB109" s="938"/>
      <c r="FC109" s="938"/>
      <c r="FD109" s="938"/>
      <c r="FE109" s="938"/>
      <c r="FF109" s="938"/>
      <c r="FG109" s="938"/>
      <c r="FH109" s="938"/>
      <c r="FI109" s="938"/>
      <c r="FJ109" s="938"/>
      <c r="FK109" s="938"/>
      <c r="FL109" s="938"/>
      <c r="FM109" s="938"/>
      <c r="FN109" s="938"/>
      <c r="FO109" s="938"/>
      <c r="FP109" s="938"/>
      <c r="FQ109" s="938"/>
      <c r="FR109" s="938"/>
      <c r="FS109" s="938"/>
      <c r="FT109" s="938"/>
      <c r="FU109" s="938"/>
      <c r="FV109" s="938"/>
      <c r="FW109" s="938"/>
      <c r="FX109" s="938"/>
      <c r="FY109" s="938"/>
      <c r="FZ109" s="938"/>
      <c r="GA109" s="938"/>
      <c r="GB109" s="938"/>
      <c r="GC109" s="938"/>
      <c r="GD109" s="938"/>
      <c r="GE109" s="938"/>
      <c r="GF109" s="938"/>
      <c r="GG109" s="938"/>
      <c r="GH109" s="938"/>
      <c r="GI109" s="938"/>
      <c r="GJ109" s="938"/>
      <c r="GK109" s="938"/>
      <c r="GL109" s="938"/>
      <c r="GM109" s="938"/>
      <c r="GN109" s="938"/>
      <c r="GO109" s="938"/>
      <c r="GP109" s="938"/>
      <c r="GQ109" s="938"/>
      <c r="GR109" s="938"/>
      <c r="GS109" s="938"/>
      <c r="GT109" s="938"/>
      <c r="GU109" s="938"/>
      <c r="GV109" s="938"/>
      <c r="GW109" s="938"/>
      <c r="GX109" s="938"/>
      <c r="GY109" s="938"/>
      <c r="GZ109" s="938"/>
      <c r="HA109" s="938"/>
      <c r="HB109" s="938"/>
      <c r="HC109" s="938"/>
      <c r="HD109" s="938"/>
      <c r="HE109" s="938"/>
      <c r="HF109" s="938"/>
      <c r="HG109" s="938"/>
      <c r="HH109" s="938"/>
      <c r="HI109" s="938"/>
      <c r="HJ109" s="938"/>
      <c r="HK109" s="938"/>
      <c r="HL109" s="938"/>
      <c r="HM109" s="938"/>
      <c r="HN109" s="938"/>
      <c r="HO109" s="938"/>
      <c r="HP109" s="938"/>
      <c r="HQ109" s="938"/>
      <c r="HR109" s="938"/>
    </row>
    <row r="110" spans="1:226" s="939" customFormat="1" ht="15" customHeight="1">
      <c r="A110" s="1519"/>
      <c r="B110" s="1500"/>
      <c r="C110" s="1501"/>
      <c r="D110" s="1502"/>
      <c r="E110" s="963" t="s">
        <v>295</v>
      </c>
      <c r="F110" s="964">
        <f>SUM(G110:J110)</f>
        <v>2000</v>
      </c>
      <c r="G110" s="964"/>
      <c r="H110" s="964"/>
      <c r="I110" s="964">
        <v>2000</v>
      </c>
      <c r="J110" s="965"/>
      <c r="K110" s="938"/>
    </row>
    <row r="111" spans="1:226" s="939" customFormat="1" ht="15" customHeight="1">
      <c r="A111" s="1519"/>
      <c r="B111" s="1500"/>
      <c r="C111" s="1501"/>
      <c r="D111" s="1502"/>
      <c r="E111" s="963" t="s">
        <v>299</v>
      </c>
      <c r="F111" s="964">
        <f>SUM(G111:J111)</f>
        <v>28000</v>
      </c>
      <c r="G111" s="964"/>
      <c r="H111" s="964"/>
      <c r="I111" s="964">
        <v>28000</v>
      </c>
      <c r="J111" s="965"/>
      <c r="K111" s="938"/>
    </row>
    <row r="112" spans="1:226" s="939" customFormat="1" ht="24.95" customHeight="1">
      <c r="A112" s="1519"/>
      <c r="B112" s="1500"/>
      <c r="C112" s="1501"/>
      <c r="D112" s="1502"/>
      <c r="E112" s="960" t="s">
        <v>945</v>
      </c>
      <c r="F112" s="961">
        <f>SUM(F113:F114)</f>
        <v>50000</v>
      </c>
      <c r="G112" s="961">
        <f>SUM(G113:G114)</f>
        <v>0</v>
      </c>
      <c r="H112" s="961">
        <f>SUM(H113:H114)</f>
        <v>0</v>
      </c>
      <c r="I112" s="961">
        <f>SUM(I113:I114)</f>
        <v>50000</v>
      </c>
      <c r="J112" s="962">
        <f>SUM(J113:J114)</f>
        <v>0</v>
      </c>
      <c r="K112" s="938"/>
    </row>
    <row r="113" spans="1:226" s="939" customFormat="1" ht="15" customHeight="1">
      <c r="A113" s="1519"/>
      <c r="B113" s="1500"/>
      <c r="C113" s="1501"/>
      <c r="D113" s="1502"/>
      <c r="E113" s="963" t="s">
        <v>455</v>
      </c>
      <c r="F113" s="964">
        <f>SUM(G113:J113)</f>
        <v>50000</v>
      </c>
      <c r="G113" s="964"/>
      <c r="H113" s="964"/>
      <c r="I113" s="964">
        <v>50000</v>
      </c>
      <c r="J113" s="965"/>
      <c r="K113" s="938"/>
    </row>
    <row r="114" spans="1:226" s="939" customFormat="1" ht="15" hidden="1" customHeight="1">
      <c r="A114" s="1519"/>
      <c r="B114" s="1500"/>
      <c r="C114" s="1501"/>
      <c r="D114" s="1502"/>
      <c r="E114" s="963"/>
      <c r="F114" s="964">
        <f>SUM(G114:J114)</f>
        <v>0</v>
      </c>
      <c r="G114" s="964"/>
      <c r="H114" s="964"/>
      <c r="I114" s="964"/>
      <c r="J114" s="965"/>
      <c r="K114" s="938"/>
    </row>
    <row r="115" spans="1:226" s="939" customFormat="1" ht="20.100000000000001" customHeight="1">
      <c r="A115" s="1519"/>
      <c r="B115" s="1500"/>
      <c r="C115" s="1501"/>
      <c r="D115" s="1502"/>
      <c r="E115" s="966" t="s">
        <v>939</v>
      </c>
      <c r="F115" s="958">
        <f>SUM(F116:F117)</f>
        <v>0</v>
      </c>
      <c r="G115" s="958">
        <f>SUM(G116:G117)</f>
        <v>0</v>
      </c>
      <c r="H115" s="958">
        <f>SUM(H116:H117)</f>
        <v>0</v>
      </c>
      <c r="I115" s="958">
        <f>SUM(I116:I117)</f>
        <v>0</v>
      </c>
      <c r="J115" s="959">
        <f>SUM(J116:J117)</f>
        <v>0</v>
      </c>
      <c r="K115" s="938"/>
    </row>
    <row r="116" spans="1:226" s="939" customFormat="1" ht="24.95" hidden="1" customHeight="1">
      <c r="A116" s="1519"/>
      <c r="B116" s="1500"/>
      <c r="C116" s="1501"/>
      <c r="D116" s="1502"/>
      <c r="E116" s="963"/>
      <c r="F116" s="964">
        <f>SUM(G116:J116)</f>
        <v>0</v>
      </c>
      <c r="G116" s="964"/>
      <c r="H116" s="964"/>
      <c r="I116" s="964"/>
      <c r="J116" s="965"/>
      <c r="K116" s="938"/>
    </row>
    <row r="117" spans="1:226" s="939" customFormat="1" ht="24.95" hidden="1" customHeight="1">
      <c r="A117" s="1519"/>
      <c r="B117" s="1500"/>
      <c r="C117" s="1501"/>
      <c r="D117" s="1502"/>
      <c r="E117" s="975"/>
      <c r="F117" s="964">
        <f>SUM(G117:J117)</f>
        <v>0</v>
      </c>
      <c r="G117" s="964"/>
      <c r="H117" s="964"/>
      <c r="I117" s="964"/>
      <c r="J117" s="965"/>
      <c r="K117" s="938"/>
    </row>
    <row r="118" spans="1:226" s="939" customFormat="1" ht="24.95" customHeight="1">
      <c r="A118" s="1503" t="s">
        <v>958</v>
      </c>
      <c r="B118" s="1504" t="s">
        <v>959</v>
      </c>
      <c r="C118" s="1505">
        <v>750</v>
      </c>
      <c r="D118" s="1506" t="s">
        <v>438</v>
      </c>
      <c r="E118" s="954" t="s">
        <v>937</v>
      </c>
      <c r="F118" s="955">
        <f>SUM(F119,F127)</f>
        <v>260600</v>
      </c>
      <c r="G118" s="955">
        <f>SUM(G119,G127)</f>
        <v>0</v>
      </c>
      <c r="H118" s="955">
        <f>SUM(H119,H127)</f>
        <v>0</v>
      </c>
      <c r="I118" s="955">
        <f>SUM(I119,I127)</f>
        <v>260600</v>
      </c>
      <c r="J118" s="956">
        <f>SUM(J119,J127)</f>
        <v>0</v>
      </c>
      <c r="K118" s="938"/>
    </row>
    <row r="119" spans="1:226" s="939" customFormat="1" ht="24.95" customHeight="1">
      <c r="A119" s="1507"/>
      <c r="B119" s="1509"/>
      <c r="C119" s="1511"/>
      <c r="D119" s="1513"/>
      <c r="E119" s="957" t="s">
        <v>943</v>
      </c>
      <c r="F119" s="958">
        <f>SUM(F120,F122)</f>
        <v>260600</v>
      </c>
      <c r="G119" s="958">
        <f>SUM(G120,G122)</f>
        <v>0</v>
      </c>
      <c r="H119" s="958">
        <f>SUM(H120,H122)</f>
        <v>0</v>
      </c>
      <c r="I119" s="958">
        <f>SUM(I120,I122)</f>
        <v>260600</v>
      </c>
      <c r="J119" s="959">
        <f>SUM(J120,J122)</f>
        <v>0</v>
      </c>
      <c r="K119" s="938"/>
    </row>
    <row r="120" spans="1:226" s="939" customFormat="1" ht="24.95" hidden="1" customHeight="1">
      <c r="A120" s="1507"/>
      <c r="B120" s="1509"/>
      <c r="C120" s="1511"/>
      <c r="D120" s="1513"/>
      <c r="E120" s="960" t="s">
        <v>944</v>
      </c>
      <c r="F120" s="961">
        <f>SUM(F121:F121)</f>
        <v>0</v>
      </c>
      <c r="G120" s="961">
        <f>SUM(G121:G121)</f>
        <v>0</v>
      </c>
      <c r="H120" s="961">
        <f>SUM(H121:H121)</f>
        <v>0</v>
      </c>
      <c r="I120" s="961">
        <f>SUM(I121:I121)</f>
        <v>0</v>
      </c>
      <c r="J120" s="962">
        <f>SUM(J121:J121)</f>
        <v>0</v>
      </c>
      <c r="K120" s="938"/>
    </row>
    <row r="121" spans="1:226" s="939" customFormat="1" ht="15" hidden="1" customHeight="1">
      <c r="A121" s="1507"/>
      <c r="B121" s="1509"/>
      <c r="C121" s="1511"/>
      <c r="D121" s="1513"/>
      <c r="E121" s="963" t="s">
        <v>299</v>
      </c>
      <c r="F121" s="964">
        <f>SUM(G121:J121)</f>
        <v>0</v>
      </c>
      <c r="G121" s="964"/>
      <c r="H121" s="964"/>
      <c r="I121" s="964"/>
      <c r="J121" s="965"/>
      <c r="K121" s="938"/>
      <c r="L121" s="938"/>
      <c r="M121" s="938"/>
      <c r="N121" s="938"/>
      <c r="O121" s="938"/>
      <c r="P121" s="938"/>
      <c r="Q121" s="938"/>
      <c r="R121" s="938"/>
      <c r="S121" s="938"/>
      <c r="T121" s="938"/>
      <c r="U121" s="938"/>
      <c r="V121" s="938"/>
      <c r="W121" s="938"/>
      <c r="X121" s="938"/>
      <c r="Y121" s="938"/>
      <c r="Z121" s="938"/>
      <c r="AA121" s="938"/>
      <c r="AB121" s="938"/>
      <c r="AC121" s="938"/>
      <c r="AD121" s="938"/>
      <c r="AE121" s="938"/>
      <c r="AF121" s="938"/>
      <c r="AG121" s="938"/>
      <c r="AH121" s="938"/>
      <c r="AI121" s="938"/>
      <c r="AJ121" s="938"/>
      <c r="AK121" s="938"/>
      <c r="AL121" s="938"/>
      <c r="AM121" s="938"/>
      <c r="AN121" s="938"/>
      <c r="AO121" s="938"/>
      <c r="AP121" s="938"/>
      <c r="AQ121" s="938"/>
      <c r="AR121" s="938"/>
      <c r="AS121" s="938"/>
      <c r="AT121" s="938"/>
      <c r="AU121" s="938"/>
      <c r="AV121" s="938"/>
      <c r="AW121" s="938"/>
      <c r="AX121" s="938"/>
      <c r="AY121" s="938"/>
      <c r="AZ121" s="938"/>
      <c r="BA121" s="938"/>
      <c r="BB121" s="938"/>
      <c r="BC121" s="938"/>
      <c r="BD121" s="938"/>
      <c r="BE121" s="938"/>
      <c r="BF121" s="938"/>
      <c r="BG121" s="938"/>
      <c r="BH121" s="938"/>
      <c r="BI121" s="938"/>
      <c r="BJ121" s="938"/>
      <c r="BK121" s="938"/>
      <c r="BL121" s="938"/>
      <c r="BM121" s="938"/>
      <c r="BN121" s="938"/>
      <c r="BO121" s="938"/>
      <c r="BP121" s="938"/>
      <c r="BQ121" s="938"/>
      <c r="BR121" s="938"/>
      <c r="BS121" s="938"/>
      <c r="BT121" s="938"/>
      <c r="BU121" s="938"/>
      <c r="BV121" s="938"/>
      <c r="BW121" s="938"/>
      <c r="BX121" s="938"/>
      <c r="BY121" s="938"/>
      <c r="BZ121" s="938"/>
      <c r="CA121" s="938"/>
      <c r="CB121" s="938"/>
      <c r="CC121" s="938"/>
      <c r="CD121" s="938"/>
      <c r="CE121" s="938"/>
      <c r="CF121" s="938"/>
      <c r="CG121" s="938"/>
      <c r="CH121" s="938"/>
      <c r="CI121" s="938"/>
      <c r="CJ121" s="938"/>
      <c r="CK121" s="938"/>
      <c r="CL121" s="938"/>
      <c r="CM121" s="938"/>
      <c r="CN121" s="938"/>
      <c r="CO121" s="938"/>
      <c r="CP121" s="938"/>
      <c r="CQ121" s="938"/>
      <c r="CR121" s="938"/>
      <c r="CS121" s="938"/>
      <c r="CT121" s="938"/>
      <c r="CU121" s="938"/>
      <c r="CV121" s="938"/>
      <c r="CW121" s="938"/>
      <c r="CX121" s="938"/>
      <c r="CY121" s="938"/>
      <c r="CZ121" s="938"/>
      <c r="DA121" s="938"/>
      <c r="DB121" s="938"/>
      <c r="DC121" s="938"/>
      <c r="DD121" s="938"/>
      <c r="DE121" s="938"/>
      <c r="DF121" s="938"/>
      <c r="DG121" s="938"/>
      <c r="DH121" s="938"/>
      <c r="DI121" s="938"/>
      <c r="DJ121" s="938"/>
      <c r="DK121" s="938"/>
      <c r="DL121" s="938"/>
      <c r="DM121" s="938"/>
      <c r="DN121" s="938"/>
      <c r="DO121" s="938"/>
      <c r="DP121" s="938"/>
      <c r="DQ121" s="938"/>
      <c r="DR121" s="938"/>
      <c r="DS121" s="938"/>
      <c r="DT121" s="938"/>
      <c r="DU121" s="938"/>
      <c r="DV121" s="938"/>
      <c r="DW121" s="938"/>
      <c r="DX121" s="938"/>
      <c r="DY121" s="938"/>
      <c r="DZ121" s="938"/>
      <c r="EA121" s="938"/>
      <c r="EB121" s="938"/>
      <c r="EC121" s="938"/>
      <c r="ED121" s="938"/>
      <c r="EE121" s="938"/>
      <c r="EF121" s="938"/>
      <c r="EG121" s="938"/>
      <c r="EH121" s="938"/>
      <c r="EI121" s="938"/>
      <c r="EJ121" s="938"/>
      <c r="EK121" s="938"/>
      <c r="EL121" s="938"/>
      <c r="EM121" s="938"/>
      <c r="EN121" s="938"/>
      <c r="EO121" s="938"/>
      <c r="EP121" s="938"/>
      <c r="EQ121" s="938"/>
      <c r="ER121" s="938"/>
      <c r="ES121" s="938"/>
      <c r="ET121" s="938"/>
      <c r="EU121" s="938"/>
      <c r="EV121" s="938"/>
      <c r="EW121" s="938"/>
      <c r="EX121" s="938"/>
      <c r="EY121" s="938"/>
      <c r="EZ121" s="938"/>
      <c r="FA121" s="938"/>
      <c r="FB121" s="938"/>
      <c r="FC121" s="938"/>
      <c r="FD121" s="938"/>
      <c r="FE121" s="938"/>
      <c r="FF121" s="938"/>
      <c r="FG121" s="938"/>
      <c r="FH121" s="938"/>
      <c r="FI121" s="938"/>
      <c r="FJ121" s="938"/>
      <c r="FK121" s="938"/>
      <c r="FL121" s="938"/>
      <c r="FM121" s="938"/>
      <c r="FN121" s="938"/>
      <c r="FO121" s="938"/>
      <c r="FP121" s="938"/>
      <c r="FQ121" s="938"/>
      <c r="FR121" s="938"/>
      <c r="FS121" s="938"/>
      <c r="FT121" s="938"/>
      <c r="FU121" s="938"/>
      <c r="FV121" s="938"/>
      <c r="FW121" s="938"/>
      <c r="FX121" s="938"/>
      <c r="FY121" s="938"/>
      <c r="FZ121" s="938"/>
      <c r="GA121" s="938"/>
      <c r="GB121" s="938"/>
      <c r="GC121" s="938"/>
      <c r="GD121" s="938"/>
      <c r="GE121" s="938"/>
      <c r="GF121" s="938"/>
      <c r="GG121" s="938"/>
      <c r="GH121" s="938"/>
      <c r="GI121" s="938"/>
      <c r="GJ121" s="938"/>
      <c r="GK121" s="938"/>
      <c r="GL121" s="938"/>
      <c r="GM121" s="938"/>
      <c r="GN121" s="938"/>
      <c r="GO121" s="938"/>
      <c r="GP121" s="938"/>
      <c r="GQ121" s="938"/>
      <c r="GR121" s="938"/>
      <c r="GS121" s="938"/>
      <c r="GT121" s="938"/>
      <c r="GU121" s="938"/>
      <c r="GV121" s="938"/>
      <c r="GW121" s="938"/>
      <c r="GX121" s="938"/>
      <c r="GY121" s="938"/>
      <c r="GZ121" s="938"/>
      <c r="HA121" s="938"/>
      <c r="HB121" s="938"/>
      <c r="HC121" s="938"/>
      <c r="HD121" s="938"/>
      <c r="HE121" s="938"/>
      <c r="HF121" s="938"/>
      <c r="HG121" s="938"/>
      <c r="HH121" s="938"/>
      <c r="HI121" s="938"/>
      <c r="HJ121" s="938"/>
      <c r="HK121" s="938"/>
      <c r="HL121" s="938"/>
      <c r="HM121" s="938"/>
      <c r="HN121" s="938"/>
      <c r="HO121" s="938"/>
      <c r="HP121" s="938"/>
      <c r="HQ121" s="938"/>
      <c r="HR121" s="938"/>
    </row>
    <row r="122" spans="1:226" s="939" customFormat="1" ht="24.95" customHeight="1">
      <c r="A122" s="1507"/>
      <c r="B122" s="1509"/>
      <c r="C122" s="1511"/>
      <c r="D122" s="1513"/>
      <c r="E122" s="960" t="s">
        <v>945</v>
      </c>
      <c r="F122" s="961">
        <f>SUM(F123:F126)</f>
        <v>260600</v>
      </c>
      <c r="G122" s="961">
        <f>SUM(G123:G126)</f>
        <v>0</v>
      </c>
      <c r="H122" s="961">
        <f>SUM(H123:H126)</f>
        <v>0</v>
      </c>
      <c r="I122" s="961">
        <f>SUM(I123:I126)</f>
        <v>260600</v>
      </c>
      <c r="J122" s="962">
        <f>SUM(J123:J126)</f>
        <v>0</v>
      </c>
      <c r="K122" s="938"/>
    </row>
    <row r="123" spans="1:226" s="939" customFormat="1" ht="15" customHeight="1">
      <c r="A123" s="1507"/>
      <c r="B123" s="1509"/>
      <c r="C123" s="1511"/>
      <c r="D123" s="1513"/>
      <c r="E123" s="963" t="s">
        <v>301</v>
      </c>
      <c r="F123" s="964">
        <f>SUM(G123:J123)</f>
        <v>600</v>
      </c>
      <c r="G123" s="964"/>
      <c r="H123" s="964"/>
      <c r="I123" s="964">
        <v>600</v>
      </c>
      <c r="J123" s="965"/>
      <c r="K123" s="938"/>
    </row>
    <row r="124" spans="1:226" s="939" customFormat="1" ht="15" customHeight="1">
      <c r="A124" s="1507"/>
      <c r="B124" s="1509"/>
      <c r="C124" s="1511"/>
      <c r="D124" s="1513"/>
      <c r="E124" s="963" t="s">
        <v>303</v>
      </c>
      <c r="F124" s="964">
        <f>SUM(G124:J124)</f>
        <v>26500</v>
      </c>
      <c r="G124" s="964"/>
      <c r="H124" s="964"/>
      <c r="I124" s="964">
        <v>26500</v>
      </c>
      <c r="J124" s="965"/>
      <c r="K124" s="938"/>
    </row>
    <row r="125" spans="1:226" s="939" customFormat="1" ht="15" customHeight="1">
      <c r="A125" s="1507"/>
      <c r="B125" s="1509"/>
      <c r="C125" s="1511"/>
      <c r="D125" s="1513"/>
      <c r="E125" s="963" t="s">
        <v>448</v>
      </c>
      <c r="F125" s="964">
        <f>SUM(G125:J125)</f>
        <v>3500</v>
      </c>
      <c r="G125" s="964"/>
      <c r="H125" s="964"/>
      <c r="I125" s="964">
        <v>3500</v>
      </c>
      <c r="J125" s="965"/>
      <c r="K125" s="938"/>
    </row>
    <row r="126" spans="1:226" s="939" customFormat="1" ht="15" customHeight="1">
      <c r="A126" s="1507"/>
      <c r="B126" s="1509"/>
      <c r="C126" s="1511"/>
      <c r="D126" s="1513"/>
      <c r="E126" s="963" t="s">
        <v>450</v>
      </c>
      <c r="F126" s="964">
        <f>SUM(G126:J126)</f>
        <v>230000</v>
      </c>
      <c r="G126" s="964"/>
      <c r="H126" s="964"/>
      <c r="I126" s="964">
        <v>230000</v>
      </c>
      <c r="J126" s="965"/>
      <c r="K126" s="938"/>
    </row>
    <row r="127" spans="1:226" s="939" customFormat="1" ht="20.100000000000001" customHeight="1">
      <c r="A127" s="1508"/>
      <c r="B127" s="1510"/>
      <c r="C127" s="1512"/>
      <c r="D127" s="1514"/>
      <c r="E127" s="966" t="s">
        <v>939</v>
      </c>
      <c r="F127" s="958">
        <f>SUM(F128:F129)</f>
        <v>0</v>
      </c>
      <c r="G127" s="958">
        <f>SUM(G128:G129)</f>
        <v>0</v>
      </c>
      <c r="H127" s="958">
        <f>SUM(H128:H129)</f>
        <v>0</v>
      </c>
      <c r="I127" s="958">
        <f>SUM(I128:I129)</f>
        <v>0</v>
      </c>
      <c r="J127" s="959">
        <f>SUM(J128:J129)</f>
        <v>0</v>
      </c>
      <c r="K127" s="938"/>
    </row>
    <row r="128" spans="1:226" s="939" customFormat="1" ht="24.95" hidden="1" customHeight="1">
      <c r="A128" s="967"/>
      <c r="B128" s="968"/>
      <c r="C128" s="969"/>
      <c r="D128" s="970"/>
      <c r="E128" s="963"/>
      <c r="F128" s="964">
        <f>SUM(G128:J128)</f>
        <v>0</v>
      </c>
      <c r="G128" s="964"/>
      <c r="H128" s="964"/>
      <c r="I128" s="964"/>
      <c r="J128" s="965"/>
      <c r="K128" s="938"/>
    </row>
    <row r="129" spans="1:226" s="939" customFormat="1" ht="24.95" hidden="1" customHeight="1">
      <c r="A129" s="971"/>
      <c r="B129" s="972"/>
      <c r="C129" s="973"/>
      <c r="D129" s="974"/>
      <c r="E129" s="975"/>
      <c r="F129" s="964">
        <f>SUM(G129:J129)</f>
        <v>0</v>
      </c>
      <c r="G129" s="964"/>
      <c r="H129" s="964"/>
      <c r="I129" s="964"/>
      <c r="J129" s="965"/>
      <c r="K129" s="938"/>
    </row>
    <row r="130" spans="1:226" s="939" customFormat="1" ht="24.95" customHeight="1">
      <c r="A130" s="1519" t="s">
        <v>960</v>
      </c>
      <c r="B130" s="1500" t="s">
        <v>961</v>
      </c>
      <c r="C130" s="1501">
        <v>750</v>
      </c>
      <c r="D130" s="1502" t="s">
        <v>438</v>
      </c>
      <c r="E130" s="954" t="s">
        <v>937</v>
      </c>
      <c r="F130" s="955">
        <f>SUM(F131,F140)</f>
        <v>9029400</v>
      </c>
      <c r="G130" s="955">
        <f>SUM(G131,G140)</f>
        <v>0</v>
      </c>
      <c r="H130" s="955">
        <f>SUM(H131,H140)</f>
        <v>0</v>
      </c>
      <c r="I130" s="955">
        <f>SUM(I131,I140)</f>
        <v>9029400</v>
      </c>
      <c r="J130" s="956">
        <f>SUM(J131,J140)</f>
        <v>0</v>
      </c>
      <c r="K130" s="938"/>
    </row>
    <row r="131" spans="1:226" s="939" customFormat="1" ht="24.95" customHeight="1">
      <c r="A131" s="1519"/>
      <c r="B131" s="1500"/>
      <c r="C131" s="1501"/>
      <c r="D131" s="1502"/>
      <c r="E131" s="957" t="s">
        <v>943</v>
      </c>
      <c r="F131" s="958">
        <f>SUM(F132,F137)</f>
        <v>9029400</v>
      </c>
      <c r="G131" s="958">
        <f>SUM(G132,G137)</f>
        <v>0</v>
      </c>
      <c r="H131" s="958">
        <f>SUM(H132,H137)</f>
        <v>0</v>
      </c>
      <c r="I131" s="958">
        <f>SUM(I132,I137)</f>
        <v>9029400</v>
      </c>
      <c r="J131" s="959">
        <f>SUM(J132,J137)</f>
        <v>0</v>
      </c>
      <c r="K131" s="938"/>
    </row>
    <row r="132" spans="1:226" s="939" customFormat="1" ht="24.95" customHeight="1">
      <c r="A132" s="1519"/>
      <c r="B132" s="1500"/>
      <c r="C132" s="1501"/>
      <c r="D132" s="1502"/>
      <c r="E132" s="960" t="s">
        <v>944</v>
      </c>
      <c r="F132" s="961">
        <f>SUM(F133:F136)</f>
        <v>9029400</v>
      </c>
      <c r="G132" s="961">
        <f>SUM(G133:G136)</f>
        <v>0</v>
      </c>
      <c r="H132" s="961">
        <f>SUM(H133:H136)</f>
        <v>0</v>
      </c>
      <c r="I132" s="961">
        <f>SUM(I133:I136)</f>
        <v>9029400</v>
      </c>
      <c r="J132" s="962">
        <f>SUM(J133:J136)</f>
        <v>0</v>
      </c>
      <c r="K132" s="938"/>
    </row>
    <row r="133" spans="1:226" s="939" customFormat="1" ht="15" customHeight="1">
      <c r="A133" s="1519"/>
      <c r="B133" s="1500"/>
      <c r="C133" s="1501"/>
      <c r="D133" s="1502"/>
      <c r="E133" s="963" t="s">
        <v>291</v>
      </c>
      <c r="F133" s="964">
        <f>SUM(G133:J133)</f>
        <v>6546161</v>
      </c>
      <c r="G133" s="964"/>
      <c r="H133" s="964"/>
      <c r="I133" s="964">
        <v>6546161</v>
      </c>
      <c r="J133" s="965"/>
      <c r="K133" s="938"/>
      <c r="L133" s="938"/>
      <c r="M133" s="938"/>
      <c r="N133" s="938"/>
      <c r="O133" s="938"/>
      <c r="P133" s="938"/>
      <c r="Q133" s="938"/>
      <c r="R133" s="938"/>
      <c r="S133" s="938"/>
      <c r="T133" s="938"/>
      <c r="U133" s="938"/>
      <c r="V133" s="938"/>
      <c r="W133" s="938"/>
      <c r="X133" s="938"/>
      <c r="Y133" s="938"/>
      <c r="Z133" s="938"/>
      <c r="AA133" s="938"/>
      <c r="AB133" s="938"/>
      <c r="AC133" s="938"/>
      <c r="AD133" s="938"/>
      <c r="AE133" s="938"/>
      <c r="AF133" s="938"/>
      <c r="AG133" s="938"/>
      <c r="AH133" s="938"/>
      <c r="AI133" s="938"/>
      <c r="AJ133" s="938"/>
      <c r="AK133" s="938"/>
      <c r="AL133" s="938"/>
      <c r="AM133" s="938"/>
      <c r="AN133" s="938"/>
      <c r="AO133" s="938"/>
      <c r="AP133" s="938"/>
      <c r="AQ133" s="938"/>
      <c r="AR133" s="938"/>
      <c r="AS133" s="938"/>
      <c r="AT133" s="938"/>
      <c r="AU133" s="938"/>
      <c r="AV133" s="938"/>
      <c r="AW133" s="938"/>
      <c r="AX133" s="938"/>
      <c r="AY133" s="938"/>
      <c r="AZ133" s="938"/>
      <c r="BA133" s="938"/>
      <c r="BB133" s="938"/>
      <c r="BC133" s="938"/>
      <c r="BD133" s="938"/>
      <c r="BE133" s="938"/>
      <c r="BF133" s="938"/>
      <c r="BG133" s="938"/>
      <c r="BH133" s="938"/>
      <c r="BI133" s="938"/>
      <c r="BJ133" s="938"/>
      <c r="BK133" s="938"/>
      <c r="BL133" s="938"/>
      <c r="BM133" s="938"/>
      <c r="BN133" s="938"/>
      <c r="BO133" s="938"/>
      <c r="BP133" s="938"/>
      <c r="BQ133" s="938"/>
      <c r="BR133" s="938"/>
      <c r="BS133" s="938"/>
      <c r="BT133" s="938"/>
      <c r="BU133" s="938"/>
      <c r="BV133" s="938"/>
      <c r="BW133" s="938"/>
      <c r="BX133" s="938"/>
      <c r="BY133" s="938"/>
      <c r="BZ133" s="938"/>
      <c r="CA133" s="938"/>
      <c r="CB133" s="938"/>
      <c r="CC133" s="938"/>
      <c r="CD133" s="938"/>
      <c r="CE133" s="938"/>
      <c r="CF133" s="938"/>
      <c r="CG133" s="938"/>
      <c r="CH133" s="938"/>
      <c r="CI133" s="938"/>
      <c r="CJ133" s="938"/>
      <c r="CK133" s="938"/>
      <c r="CL133" s="938"/>
      <c r="CM133" s="938"/>
      <c r="CN133" s="938"/>
      <c r="CO133" s="938"/>
      <c r="CP133" s="938"/>
      <c r="CQ133" s="938"/>
      <c r="CR133" s="938"/>
      <c r="CS133" s="938"/>
      <c r="CT133" s="938"/>
      <c r="CU133" s="938"/>
      <c r="CV133" s="938"/>
      <c r="CW133" s="938"/>
      <c r="CX133" s="938"/>
      <c r="CY133" s="938"/>
      <c r="CZ133" s="938"/>
      <c r="DA133" s="938"/>
      <c r="DB133" s="938"/>
      <c r="DC133" s="938"/>
      <c r="DD133" s="938"/>
      <c r="DE133" s="938"/>
      <c r="DF133" s="938"/>
      <c r="DG133" s="938"/>
      <c r="DH133" s="938"/>
      <c r="DI133" s="938"/>
      <c r="DJ133" s="938"/>
      <c r="DK133" s="938"/>
      <c r="DL133" s="938"/>
      <c r="DM133" s="938"/>
      <c r="DN133" s="938"/>
      <c r="DO133" s="938"/>
      <c r="DP133" s="938"/>
      <c r="DQ133" s="938"/>
      <c r="DR133" s="938"/>
      <c r="DS133" s="938"/>
      <c r="DT133" s="938"/>
      <c r="DU133" s="938"/>
      <c r="DV133" s="938"/>
      <c r="DW133" s="938"/>
      <c r="DX133" s="938"/>
      <c r="DY133" s="938"/>
      <c r="DZ133" s="938"/>
      <c r="EA133" s="938"/>
      <c r="EB133" s="938"/>
      <c r="EC133" s="938"/>
      <c r="ED133" s="938"/>
      <c r="EE133" s="938"/>
      <c r="EF133" s="938"/>
      <c r="EG133" s="938"/>
      <c r="EH133" s="938"/>
      <c r="EI133" s="938"/>
      <c r="EJ133" s="938"/>
      <c r="EK133" s="938"/>
      <c r="EL133" s="938"/>
      <c r="EM133" s="938"/>
      <c r="EN133" s="938"/>
      <c r="EO133" s="938"/>
      <c r="EP133" s="938"/>
      <c r="EQ133" s="938"/>
      <c r="ER133" s="938"/>
      <c r="ES133" s="938"/>
      <c r="ET133" s="938"/>
      <c r="EU133" s="938"/>
      <c r="EV133" s="938"/>
      <c r="EW133" s="938"/>
      <c r="EX133" s="938"/>
      <c r="EY133" s="938"/>
      <c r="EZ133" s="938"/>
      <c r="FA133" s="938"/>
      <c r="FB133" s="938"/>
      <c r="FC133" s="938"/>
      <c r="FD133" s="938"/>
      <c r="FE133" s="938"/>
      <c r="FF133" s="938"/>
      <c r="FG133" s="938"/>
      <c r="FH133" s="938"/>
      <c r="FI133" s="938"/>
      <c r="FJ133" s="938"/>
      <c r="FK133" s="938"/>
      <c r="FL133" s="938"/>
      <c r="FM133" s="938"/>
      <c r="FN133" s="938"/>
      <c r="FO133" s="938"/>
      <c r="FP133" s="938"/>
      <c r="FQ133" s="938"/>
      <c r="FR133" s="938"/>
      <c r="FS133" s="938"/>
      <c r="FT133" s="938"/>
      <c r="FU133" s="938"/>
      <c r="FV133" s="938"/>
      <c r="FW133" s="938"/>
      <c r="FX133" s="938"/>
      <c r="FY133" s="938"/>
      <c r="FZ133" s="938"/>
      <c r="GA133" s="938"/>
      <c r="GB133" s="938"/>
      <c r="GC133" s="938"/>
      <c r="GD133" s="938"/>
      <c r="GE133" s="938"/>
      <c r="GF133" s="938"/>
      <c r="GG133" s="938"/>
      <c r="GH133" s="938"/>
      <c r="GI133" s="938"/>
      <c r="GJ133" s="938"/>
      <c r="GK133" s="938"/>
      <c r="GL133" s="938"/>
      <c r="GM133" s="938"/>
      <c r="GN133" s="938"/>
      <c r="GO133" s="938"/>
      <c r="GP133" s="938"/>
      <c r="GQ133" s="938"/>
      <c r="GR133" s="938"/>
      <c r="GS133" s="938"/>
      <c r="GT133" s="938"/>
      <c r="GU133" s="938"/>
      <c r="GV133" s="938"/>
      <c r="GW133" s="938"/>
      <c r="GX133" s="938"/>
      <c r="GY133" s="938"/>
      <c r="GZ133" s="938"/>
      <c r="HA133" s="938"/>
      <c r="HB133" s="938"/>
      <c r="HC133" s="938"/>
      <c r="HD133" s="938"/>
      <c r="HE133" s="938"/>
      <c r="HF133" s="938"/>
      <c r="HG133" s="938"/>
      <c r="HH133" s="938"/>
      <c r="HI133" s="938"/>
      <c r="HJ133" s="938"/>
      <c r="HK133" s="938"/>
      <c r="HL133" s="938"/>
      <c r="HM133" s="938"/>
      <c r="HN133" s="938"/>
      <c r="HO133" s="938"/>
      <c r="HP133" s="938"/>
      <c r="HQ133" s="938"/>
      <c r="HR133" s="938"/>
    </row>
    <row r="134" spans="1:226" s="939" customFormat="1" ht="15" customHeight="1">
      <c r="A134" s="1519"/>
      <c r="B134" s="1500"/>
      <c r="C134" s="1501"/>
      <c r="D134" s="1502"/>
      <c r="E134" s="963" t="s">
        <v>293</v>
      </c>
      <c r="F134" s="964">
        <f>SUM(G134:J134)</f>
        <v>1000982</v>
      </c>
      <c r="G134" s="964"/>
      <c r="H134" s="964"/>
      <c r="I134" s="964">
        <v>1000982</v>
      </c>
      <c r="J134" s="965"/>
      <c r="K134" s="938"/>
    </row>
    <row r="135" spans="1:226" s="939" customFormat="1" ht="15" customHeight="1">
      <c r="A135" s="1519"/>
      <c r="B135" s="1500"/>
      <c r="C135" s="1501"/>
      <c r="D135" s="1502"/>
      <c r="E135" s="963" t="s">
        <v>295</v>
      </c>
      <c r="F135" s="964">
        <f>SUM(G135:J135)</f>
        <v>1297353</v>
      </c>
      <c r="G135" s="964"/>
      <c r="H135" s="964"/>
      <c r="I135" s="964">
        <v>1297353</v>
      </c>
      <c r="J135" s="965"/>
      <c r="K135" s="938"/>
    </row>
    <row r="136" spans="1:226" s="939" customFormat="1" ht="15" customHeight="1">
      <c r="A136" s="1519"/>
      <c r="B136" s="1500"/>
      <c r="C136" s="1501"/>
      <c r="D136" s="1502"/>
      <c r="E136" s="963" t="s">
        <v>297</v>
      </c>
      <c r="F136" s="964">
        <f>SUM(G136:J136)</f>
        <v>184904</v>
      </c>
      <c r="G136" s="964"/>
      <c r="H136" s="964"/>
      <c r="I136" s="964">
        <v>184904</v>
      </c>
      <c r="J136" s="965"/>
      <c r="K136" s="938"/>
    </row>
    <row r="137" spans="1:226" s="939" customFormat="1" ht="24.95" hidden="1" customHeight="1">
      <c r="A137" s="1519"/>
      <c r="B137" s="1500"/>
      <c r="C137" s="1501"/>
      <c r="D137" s="1502"/>
      <c r="E137" s="960" t="s">
        <v>945</v>
      </c>
      <c r="F137" s="961">
        <f>SUM(F138:F139)</f>
        <v>0</v>
      </c>
      <c r="G137" s="961">
        <f>SUM(G138:G139)</f>
        <v>0</v>
      </c>
      <c r="H137" s="961">
        <f>SUM(H138:H139)</f>
        <v>0</v>
      </c>
      <c r="I137" s="961">
        <f>SUM(I138:I139)</f>
        <v>0</v>
      </c>
      <c r="J137" s="962">
        <f>SUM(J138:J139)</f>
        <v>0</v>
      </c>
      <c r="K137" s="938"/>
    </row>
    <row r="138" spans="1:226" s="939" customFormat="1" ht="24.95" hidden="1" customHeight="1">
      <c r="A138" s="1519"/>
      <c r="B138" s="1500"/>
      <c r="C138" s="1501"/>
      <c r="D138" s="1502"/>
      <c r="E138" s="963"/>
      <c r="F138" s="964">
        <f>SUM(G138:J138)</f>
        <v>0</v>
      </c>
      <c r="G138" s="964"/>
      <c r="H138" s="964"/>
      <c r="I138" s="964"/>
      <c r="J138" s="965"/>
      <c r="K138" s="938"/>
    </row>
    <row r="139" spans="1:226" s="939" customFormat="1" ht="24.95" hidden="1" customHeight="1">
      <c r="A139" s="1519"/>
      <c r="B139" s="1500"/>
      <c r="C139" s="1501"/>
      <c r="D139" s="1502"/>
      <c r="E139" s="963"/>
      <c r="F139" s="964">
        <f>SUM(G139:J139)</f>
        <v>0</v>
      </c>
      <c r="G139" s="964"/>
      <c r="H139" s="964"/>
      <c r="I139" s="964"/>
      <c r="J139" s="965"/>
      <c r="K139" s="938"/>
    </row>
    <row r="140" spans="1:226" s="939" customFormat="1" ht="24.95" customHeight="1">
      <c r="A140" s="1519"/>
      <c r="B140" s="1500"/>
      <c r="C140" s="1501"/>
      <c r="D140" s="1502"/>
      <c r="E140" s="966" t="s">
        <v>939</v>
      </c>
      <c r="F140" s="958">
        <f>SUM(F141:F142)</f>
        <v>0</v>
      </c>
      <c r="G140" s="958">
        <f>SUM(G141:G142)</f>
        <v>0</v>
      </c>
      <c r="H140" s="958">
        <f>SUM(H141:H142)</f>
        <v>0</v>
      </c>
      <c r="I140" s="958">
        <f>SUM(I141:I142)</f>
        <v>0</v>
      </c>
      <c r="J140" s="959">
        <f>SUM(J141:J142)</f>
        <v>0</v>
      </c>
      <c r="K140" s="938"/>
    </row>
    <row r="141" spans="1:226" s="939" customFormat="1" ht="24.95" hidden="1" customHeight="1">
      <c r="A141" s="1519"/>
      <c r="B141" s="1500"/>
      <c r="C141" s="1501"/>
      <c r="D141" s="1502"/>
      <c r="E141" s="963"/>
      <c r="F141" s="964">
        <f>SUM(G141:J141)</f>
        <v>0</v>
      </c>
      <c r="G141" s="964"/>
      <c r="H141" s="964"/>
      <c r="I141" s="964"/>
      <c r="J141" s="965"/>
      <c r="K141" s="938"/>
    </row>
    <row r="142" spans="1:226" s="939" customFormat="1" ht="24.95" hidden="1" customHeight="1">
      <c r="A142" s="1519"/>
      <c r="B142" s="1500"/>
      <c r="C142" s="1501"/>
      <c r="D142" s="1502"/>
      <c r="E142" s="975"/>
      <c r="F142" s="964">
        <f>SUM(G142:J142)</f>
        <v>0</v>
      </c>
      <c r="G142" s="964"/>
      <c r="H142" s="964"/>
      <c r="I142" s="964"/>
      <c r="J142" s="965"/>
      <c r="K142" s="938"/>
    </row>
    <row r="143" spans="1:226" s="939" customFormat="1" ht="24.95" customHeight="1">
      <c r="A143" s="1503" t="s">
        <v>962</v>
      </c>
      <c r="B143" s="1504" t="s">
        <v>963</v>
      </c>
      <c r="C143" s="1505">
        <v>750</v>
      </c>
      <c r="D143" s="1506" t="s">
        <v>466</v>
      </c>
      <c r="E143" s="954" t="s">
        <v>937</v>
      </c>
      <c r="F143" s="955">
        <f>SUM(F144,F164)</f>
        <v>153068</v>
      </c>
      <c r="G143" s="955">
        <f>SUM(G144,G164)</f>
        <v>22960</v>
      </c>
      <c r="H143" s="955">
        <f>SUM(H144,H164)</f>
        <v>130108</v>
      </c>
      <c r="I143" s="955">
        <f>SUM(I144,I164)</f>
        <v>0</v>
      </c>
      <c r="J143" s="956">
        <f>SUM(J144,J164)</f>
        <v>0</v>
      </c>
      <c r="K143" s="938"/>
    </row>
    <row r="144" spans="1:226" s="939" customFormat="1" ht="24.95" customHeight="1">
      <c r="A144" s="1507"/>
      <c r="B144" s="1509"/>
      <c r="C144" s="1511"/>
      <c r="D144" s="1513"/>
      <c r="E144" s="957" t="s">
        <v>943</v>
      </c>
      <c r="F144" s="958">
        <f>SUM(F145,F148,F157)</f>
        <v>153068</v>
      </c>
      <c r="G144" s="958">
        <f>SUM(G145,G148,G157)</f>
        <v>22960</v>
      </c>
      <c r="H144" s="958">
        <f>SUM(H145,H148,H157)</f>
        <v>130108</v>
      </c>
      <c r="I144" s="958">
        <f>SUM(I145,I148,I157)</f>
        <v>0</v>
      </c>
      <c r="J144" s="959">
        <f>SUM(J145,J148,J157)</f>
        <v>0</v>
      </c>
      <c r="K144" s="938"/>
    </row>
    <row r="145" spans="1:11" s="939" customFormat="1" ht="24.95" hidden="1" customHeight="1">
      <c r="A145" s="1507"/>
      <c r="B145" s="1509"/>
      <c r="C145" s="1511"/>
      <c r="D145" s="1513"/>
      <c r="E145" s="960" t="s">
        <v>964</v>
      </c>
      <c r="F145" s="961">
        <f>SUM(F146:F147)</f>
        <v>0</v>
      </c>
      <c r="G145" s="961">
        <f>SUM(G146:G147)</f>
        <v>0</v>
      </c>
      <c r="H145" s="961">
        <f>SUM(H146:H147)</f>
        <v>0</v>
      </c>
      <c r="I145" s="961">
        <f>SUM(I146:I147)</f>
        <v>0</v>
      </c>
      <c r="J145" s="962">
        <f>SUM(J146:J147)</f>
        <v>0</v>
      </c>
      <c r="K145" s="938"/>
    </row>
    <row r="146" spans="1:11" s="939" customFormat="1" ht="24.95" hidden="1" customHeight="1">
      <c r="A146" s="1507"/>
      <c r="B146" s="1509"/>
      <c r="C146" s="1511"/>
      <c r="D146" s="1513"/>
      <c r="E146" s="963" t="s">
        <v>422</v>
      </c>
      <c r="F146" s="964">
        <f>SUM(G146:J146)</f>
        <v>0</v>
      </c>
      <c r="G146" s="964"/>
      <c r="H146" s="964"/>
      <c r="I146" s="964"/>
      <c r="J146" s="965"/>
      <c r="K146" s="938"/>
    </row>
    <row r="147" spans="1:11" s="939" customFormat="1" ht="24.95" hidden="1" customHeight="1">
      <c r="A147" s="1507"/>
      <c r="B147" s="1509"/>
      <c r="C147" s="1511"/>
      <c r="D147" s="1513"/>
      <c r="E147" s="963" t="s">
        <v>348</v>
      </c>
      <c r="F147" s="964">
        <f>SUM(G147:J147)</f>
        <v>0</v>
      </c>
      <c r="G147" s="964"/>
      <c r="H147" s="964"/>
      <c r="I147" s="964"/>
      <c r="J147" s="965"/>
      <c r="K147" s="938"/>
    </row>
    <row r="148" spans="1:11" s="939" customFormat="1" ht="24.95" customHeight="1">
      <c r="A148" s="1507"/>
      <c r="B148" s="1509"/>
      <c r="C148" s="1511"/>
      <c r="D148" s="1513"/>
      <c r="E148" s="960" t="s">
        <v>944</v>
      </c>
      <c r="F148" s="961">
        <f>SUM(F149:F156)</f>
        <v>84800</v>
      </c>
      <c r="G148" s="961">
        <f>SUM(G149:G156)</f>
        <v>12720</v>
      </c>
      <c r="H148" s="961">
        <f>SUM(H149:H156)</f>
        <v>72080</v>
      </c>
      <c r="I148" s="961">
        <f>SUM(I149:I156)</f>
        <v>0</v>
      </c>
      <c r="J148" s="962">
        <f>SUM(J149:J156)</f>
        <v>0</v>
      </c>
      <c r="K148" s="938"/>
    </row>
    <row r="149" spans="1:11" s="939" customFormat="1" ht="15" customHeight="1">
      <c r="A149" s="1507"/>
      <c r="B149" s="1509"/>
      <c r="C149" s="1511"/>
      <c r="D149" s="1513"/>
      <c r="E149" s="963" t="s">
        <v>362</v>
      </c>
      <c r="F149" s="964">
        <f t="shared" ref="F149:F156" si="3">SUM(G149:J149)</f>
        <v>60247</v>
      </c>
      <c r="G149" s="964"/>
      <c r="H149" s="964">
        <v>60247</v>
      </c>
      <c r="I149" s="964"/>
      <c r="J149" s="965"/>
      <c r="K149" s="938"/>
    </row>
    <row r="150" spans="1:11" s="939" customFormat="1" ht="15" customHeight="1">
      <c r="A150" s="1507"/>
      <c r="B150" s="1509"/>
      <c r="C150" s="1511"/>
      <c r="D150" s="1513"/>
      <c r="E150" s="963" t="s">
        <v>292</v>
      </c>
      <c r="F150" s="964">
        <f t="shared" si="3"/>
        <v>10632</v>
      </c>
      <c r="G150" s="964">
        <v>10632</v>
      </c>
      <c r="H150" s="964"/>
      <c r="I150" s="964"/>
      <c r="J150" s="965"/>
      <c r="K150" s="938"/>
    </row>
    <row r="151" spans="1:11" s="939" customFormat="1" ht="15" customHeight="1">
      <c r="A151" s="1507"/>
      <c r="B151" s="1509"/>
      <c r="C151" s="1511"/>
      <c r="D151" s="1513"/>
      <c r="E151" s="963" t="s">
        <v>363</v>
      </c>
      <c r="F151" s="964">
        <f t="shared" si="3"/>
        <v>10357</v>
      </c>
      <c r="G151" s="964"/>
      <c r="H151" s="964">
        <v>10357</v>
      </c>
      <c r="I151" s="964"/>
      <c r="J151" s="965"/>
      <c r="K151" s="938"/>
    </row>
    <row r="152" spans="1:11" s="939" customFormat="1" ht="15" customHeight="1">
      <c r="A152" s="1507"/>
      <c r="B152" s="1509"/>
      <c r="C152" s="1511"/>
      <c r="D152" s="1513"/>
      <c r="E152" s="963" t="s">
        <v>296</v>
      </c>
      <c r="F152" s="964">
        <f t="shared" si="3"/>
        <v>1828</v>
      </c>
      <c r="G152" s="964">
        <v>1828</v>
      </c>
      <c r="H152" s="964"/>
      <c r="I152" s="964"/>
      <c r="J152" s="965"/>
      <c r="K152" s="938"/>
    </row>
    <row r="153" spans="1:11" s="939" customFormat="1" ht="15" customHeight="1">
      <c r="A153" s="1507"/>
      <c r="B153" s="1509"/>
      <c r="C153" s="1511"/>
      <c r="D153" s="1513"/>
      <c r="E153" s="963" t="s">
        <v>364</v>
      </c>
      <c r="F153" s="964">
        <f t="shared" si="3"/>
        <v>1476</v>
      </c>
      <c r="G153" s="964"/>
      <c r="H153" s="964">
        <v>1476</v>
      </c>
      <c r="I153" s="964"/>
      <c r="J153" s="965"/>
      <c r="K153" s="938"/>
    </row>
    <row r="154" spans="1:11" s="939" customFormat="1" ht="15" customHeight="1">
      <c r="A154" s="1507"/>
      <c r="B154" s="1509"/>
      <c r="C154" s="1511"/>
      <c r="D154" s="1513"/>
      <c r="E154" s="963" t="s">
        <v>298</v>
      </c>
      <c r="F154" s="964">
        <f t="shared" si="3"/>
        <v>260</v>
      </c>
      <c r="G154" s="964">
        <v>260</v>
      </c>
      <c r="H154" s="964"/>
      <c r="I154" s="964"/>
      <c r="J154" s="965"/>
      <c r="K154" s="938"/>
    </row>
    <row r="155" spans="1:11" s="939" customFormat="1" ht="15" hidden="1" customHeight="1">
      <c r="A155" s="1507"/>
      <c r="B155" s="1509"/>
      <c r="C155" s="1511"/>
      <c r="D155" s="1513"/>
      <c r="E155" s="963" t="s">
        <v>460</v>
      </c>
      <c r="F155" s="964">
        <f t="shared" si="3"/>
        <v>0</v>
      </c>
      <c r="G155" s="964"/>
      <c r="H155" s="964"/>
      <c r="I155" s="964"/>
      <c r="J155" s="965"/>
      <c r="K155" s="938"/>
    </row>
    <row r="156" spans="1:11" s="939" customFormat="1" ht="15" hidden="1" customHeight="1">
      <c r="A156" s="1507"/>
      <c r="B156" s="1509"/>
      <c r="C156" s="1511"/>
      <c r="D156" s="1513"/>
      <c r="E156" s="963" t="s">
        <v>300</v>
      </c>
      <c r="F156" s="964">
        <f t="shared" si="3"/>
        <v>0</v>
      </c>
      <c r="G156" s="964"/>
      <c r="H156" s="964"/>
      <c r="I156" s="964"/>
      <c r="J156" s="965"/>
      <c r="K156" s="938"/>
    </row>
    <row r="157" spans="1:11" s="939" customFormat="1" ht="24.95" customHeight="1">
      <c r="A157" s="1507"/>
      <c r="B157" s="1509"/>
      <c r="C157" s="1511"/>
      <c r="D157" s="1513"/>
      <c r="E157" s="960" t="s">
        <v>945</v>
      </c>
      <c r="F157" s="961">
        <f>SUM(F158:F163)</f>
        <v>68268</v>
      </c>
      <c r="G157" s="961">
        <f>SUM(G158:G163)</f>
        <v>10240</v>
      </c>
      <c r="H157" s="961">
        <f>SUM(H158:H163)</f>
        <v>58028</v>
      </c>
      <c r="I157" s="961">
        <f>SUM(I158:I163)</f>
        <v>0</v>
      </c>
      <c r="J157" s="962">
        <f>SUM(J158:J163)</f>
        <v>0</v>
      </c>
      <c r="K157" s="938"/>
    </row>
    <row r="158" spans="1:11" s="939" customFormat="1" ht="15" customHeight="1">
      <c r="A158" s="1507"/>
      <c r="B158" s="1509"/>
      <c r="C158" s="1511"/>
      <c r="D158" s="1513"/>
      <c r="E158" s="963" t="s">
        <v>366</v>
      </c>
      <c r="F158" s="964">
        <f t="shared" ref="F158:F163" si="4">SUM(G158:J158)</f>
        <v>41368</v>
      </c>
      <c r="G158" s="964"/>
      <c r="H158" s="964">
        <v>41368</v>
      </c>
      <c r="I158" s="964"/>
      <c r="J158" s="965"/>
      <c r="K158" s="938"/>
    </row>
    <row r="159" spans="1:11" s="939" customFormat="1" ht="15" customHeight="1">
      <c r="A159" s="1507"/>
      <c r="B159" s="1509"/>
      <c r="C159" s="1511"/>
      <c r="D159" s="1513"/>
      <c r="E159" s="963" t="s">
        <v>304</v>
      </c>
      <c r="F159" s="964">
        <f t="shared" si="4"/>
        <v>7300</v>
      </c>
      <c r="G159" s="964">
        <v>7300</v>
      </c>
      <c r="H159" s="964"/>
      <c r="I159" s="964"/>
      <c r="J159" s="965"/>
      <c r="K159" s="938"/>
    </row>
    <row r="160" spans="1:11" s="939" customFormat="1" ht="15" customHeight="1">
      <c r="A160" s="1507"/>
      <c r="B160" s="1509"/>
      <c r="C160" s="1511"/>
      <c r="D160" s="1513"/>
      <c r="E160" s="963" t="s">
        <v>392</v>
      </c>
      <c r="F160" s="964">
        <f t="shared" si="4"/>
        <v>3400</v>
      </c>
      <c r="G160" s="964"/>
      <c r="H160" s="964">
        <v>3400</v>
      </c>
      <c r="I160" s="964"/>
      <c r="J160" s="965"/>
      <c r="K160" s="938"/>
    </row>
    <row r="161" spans="1:226" s="939" customFormat="1" ht="15" customHeight="1">
      <c r="A161" s="1507"/>
      <c r="B161" s="1509"/>
      <c r="C161" s="1511"/>
      <c r="D161" s="1513"/>
      <c r="E161" s="963" t="s">
        <v>310</v>
      </c>
      <c r="F161" s="964">
        <f t="shared" si="4"/>
        <v>600</v>
      </c>
      <c r="G161" s="964">
        <v>600</v>
      </c>
      <c r="H161" s="964"/>
      <c r="I161" s="964"/>
      <c r="J161" s="965"/>
      <c r="K161" s="938"/>
    </row>
    <row r="162" spans="1:226" s="939" customFormat="1" ht="15" customHeight="1">
      <c r="A162" s="1507"/>
      <c r="B162" s="1509"/>
      <c r="C162" s="1511"/>
      <c r="D162" s="1513"/>
      <c r="E162" s="963" t="s">
        <v>430</v>
      </c>
      <c r="F162" s="964">
        <f t="shared" si="4"/>
        <v>13260</v>
      </c>
      <c r="G162" s="964"/>
      <c r="H162" s="964">
        <v>13260</v>
      </c>
      <c r="I162" s="964"/>
      <c r="J162" s="965"/>
      <c r="K162" s="938"/>
    </row>
    <row r="163" spans="1:226" s="939" customFormat="1" ht="15" customHeight="1">
      <c r="A163" s="1507"/>
      <c r="B163" s="1509"/>
      <c r="C163" s="1511"/>
      <c r="D163" s="1513"/>
      <c r="E163" s="963" t="s">
        <v>318</v>
      </c>
      <c r="F163" s="964">
        <f t="shared" si="4"/>
        <v>2340</v>
      </c>
      <c r="G163" s="964">
        <v>2340</v>
      </c>
      <c r="H163" s="964"/>
      <c r="I163" s="964"/>
      <c r="J163" s="965"/>
      <c r="K163" s="938"/>
    </row>
    <row r="164" spans="1:226" s="939" customFormat="1" ht="24.95" customHeight="1">
      <c r="A164" s="1508"/>
      <c r="B164" s="1510"/>
      <c r="C164" s="1512"/>
      <c r="D164" s="1514"/>
      <c r="E164" s="966" t="s">
        <v>939</v>
      </c>
      <c r="F164" s="958">
        <f>SUM(F165:F166)</f>
        <v>0</v>
      </c>
      <c r="G164" s="958">
        <f>SUM(G165:G166)</f>
        <v>0</v>
      </c>
      <c r="H164" s="958">
        <f>SUM(H165:H166)</f>
        <v>0</v>
      </c>
      <c r="I164" s="958">
        <f>SUM(I165:I166)</f>
        <v>0</v>
      </c>
      <c r="J164" s="959">
        <f>SUM(J165:J166)</f>
        <v>0</v>
      </c>
      <c r="K164" s="938"/>
    </row>
    <row r="165" spans="1:226" s="939" customFormat="1" ht="24.95" hidden="1" customHeight="1">
      <c r="A165" s="967"/>
      <c r="B165" s="968"/>
      <c r="C165" s="969"/>
      <c r="D165" s="970"/>
      <c r="E165" s="963" t="s">
        <v>372</v>
      </c>
      <c r="F165" s="964">
        <f>SUM(G165:J165)</f>
        <v>0</v>
      </c>
      <c r="G165" s="964"/>
      <c r="H165" s="964"/>
      <c r="I165" s="964"/>
      <c r="J165" s="965"/>
      <c r="K165" s="938"/>
    </row>
    <row r="166" spans="1:226" s="939" customFormat="1" ht="24.95" hidden="1" customHeight="1">
      <c r="A166" s="971"/>
      <c r="B166" s="972"/>
      <c r="C166" s="973"/>
      <c r="D166" s="974"/>
      <c r="E166" s="963" t="s">
        <v>320</v>
      </c>
      <c r="F166" s="964">
        <f>SUM(G166:J166)</f>
        <v>0</v>
      </c>
      <c r="G166" s="964"/>
      <c r="H166" s="964"/>
      <c r="I166" s="964"/>
      <c r="J166" s="965"/>
      <c r="K166" s="938"/>
    </row>
    <row r="167" spans="1:226" s="939" customFormat="1" ht="23.1" customHeight="1">
      <c r="A167" s="1519" t="s">
        <v>965</v>
      </c>
      <c r="B167" s="1500" t="s">
        <v>966</v>
      </c>
      <c r="C167" s="1501">
        <v>854</v>
      </c>
      <c r="D167" s="1502" t="s">
        <v>625</v>
      </c>
      <c r="E167" s="954" t="s">
        <v>937</v>
      </c>
      <c r="F167" s="955">
        <f>SUM(F168,F185)</f>
        <v>4903415</v>
      </c>
      <c r="G167" s="955">
        <f>SUM(G168,G185)</f>
        <v>0</v>
      </c>
      <c r="H167" s="955">
        <f>SUM(H168,H185)</f>
        <v>4167903</v>
      </c>
      <c r="I167" s="955">
        <f>SUM(I168,I185)</f>
        <v>735512</v>
      </c>
      <c r="J167" s="956">
        <f>SUM(J168,J185)</f>
        <v>0</v>
      </c>
      <c r="K167" s="938"/>
    </row>
    <row r="168" spans="1:226" s="939" customFormat="1" ht="23.1" customHeight="1">
      <c r="A168" s="1519"/>
      <c r="B168" s="1500"/>
      <c r="C168" s="1501"/>
      <c r="D168" s="1502"/>
      <c r="E168" s="957" t="s">
        <v>943</v>
      </c>
      <c r="F168" s="958">
        <f>SUM(F169,F178)</f>
        <v>4903415</v>
      </c>
      <c r="G168" s="958">
        <f>SUM(G169,G178)</f>
        <v>0</v>
      </c>
      <c r="H168" s="958">
        <f>SUM(H169,H178)</f>
        <v>4167903</v>
      </c>
      <c r="I168" s="958">
        <f>SUM(I169,I178)</f>
        <v>735512</v>
      </c>
      <c r="J168" s="959">
        <f>SUM(J169,J178)</f>
        <v>0</v>
      </c>
      <c r="K168" s="938"/>
    </row>
    <row r="169" spans="1:226" s="939" customFormat="1" ht="21.95" customHeight="1">
      <c r="A169" s="1519"/>
      <c r="B169" s="1500"/>
      <c r="C169" s="1501"/>
      <c r="D169" s="1502"/>
      <c r="E169" s="960" t="s">
        <v>944</v>
      </c>
      <c r="F169" s="961">
        <f>SUM(F170:F177)</f>
        <v>1330004</v>
      </c>
      <c r="G169" s="961">
        <f>SUM(G170:G177)</f>
        <v>0</v>
      </c>
      <c r="H169" s="961">
        <f>SUM(H170:H177)</f>
        <v>1130503</v>
      </c>
      <c r="I169" s="961">
        <f>SUM(I170:I177)</f>
        <v>199501</v>
      </c>
      <c r="J169" s="962">
        <f>SUM(J170:J177)</f>
        <v>0</v>
      </c>
      <c r="K169" s="938"/>
    </row>
    <row r="170" spans="1:226" s="939" customFormat="1" ht="15" customHeight="1">
      <c r="A170" s="1519"/>
      <c r="B170" s="1500"/>
      <c r="C170" s="1501"/>
      <c r="D170" s="1502"/>
      <c r="E170" s="963" t="s">
        <v>362</v>
      </c>
      <c r="F170" s="964">
        <f t="shared" ref="F170:F177" si="5">SUM(G170:J170)</f>
        <v>142165</v>
      </c>
      <c r="G170" s="964"/>
      <c r="H170" s="964">
        <v>142165</v>
      </c>
      <c r="I170" s="964"/>
      <c r="J170" s="965"/>
      <c r="K170" s="938"/>
    </row>
    <row r="171" spans="1:226" s="939" customFormat="1" ht="15" customHeight="1">
      <c r="A171" s="1519"/>
      <c r="B171" s="1500"/>
      <c r="C171" s="1501"/>
      <c r="D171" s="1502"/>
      <c r="E171" s="963" t="s">
        <v>292</v>
      </c>
      <c r="F171" s="964">
        <f t="shared" si="5"/>
        <v>25088</v>
      </c>
      <c r="G171" s="964"/>
      <c r="H171" s="964"/>
      <c r="I171" s="964">
        <v>25088</v>
      </c>
      <c r="J171" s="965"/>
      <c r="K171" s="938"/>
    </row>
    <row r="172" spans="1:226" s="939" customFormat="1" ht="15" customHeight="1">
      <c r="A172" s="1519"/>
      <c r="B172" s="1500"/>
      <c r="C172" s="1501"/>
      <c r="D172" s="1502"/>
      <c r="E172" s="963" t="s">
        <v>363</v>
      </c>
      <c r="F172" s="964">
        <f t="shared" si="5"/>
        <v>162852</v>
      </c>
      <c r="G172" s="964"/>
      <c r="H172" s="964">
        <v>162852</v>
      </c>
      <c r="I172" s="964"/>
      <c r="J172" s="965"/>
      <c r="K172" s="938"/>
      <c r="L172" s="938"/>
      <c r="M172" s="938"/>
      <c r="N172" s="938"/>
      <c r="O172" s="938"/>
      <c r="P172" s="938"/>
      <c r="Q172" s="938"/>
      <c r="R172" s="938"/>
      <c r="S172" s="938"/>
      <c r="T172" s="938"/>
      <c r="U172" s="938"/>
      <c r="V172" s="938"/>
      <c r="W172" s="938"/>
      <c r="X172" s="938"/>
      <c r="Y172" s="938"/>
      <c r="Z172" s="938"/>
      <c r="AA172" s="938"/>
      <c r="AB172" s="938"/>
      <c r="AC172" s="938"/>
      <c r="AD172" s="938"/>
      <c r="AE172" s="938"/>
      <c r="AF172" s="938"/>
      <c r="AG172" s="938"/>
      <c r="AH172" s="938"/>
      <c r="AI172" s="938"/>
      <c r="AJ172" s="938"/>
      <c r="AK172" s="938"/>
      <c r="AL172" s="938"/>
      <c r="AM172" s="938"/>
      <c r="AN172" s="938"/>
      <c r="AO172" s="938"/>
      <c r="AP172" s="938"/>
      <c r="AQ172" s="938"/>
      <c r="AR172" s="938"/>
      <c r="AS172" s="938"/>
      <c r="AT172" s="938"/>
      <c r="AU172" s="938"/>
      <c r="AV172" s="938"/>
      <c r="AW172" s="938"/>
      <c r="AX172" s="938"/>
      <c r="AY172" s="938"/>
      <c r="AZ172" s="938"/>
      <c r="BA172" s="938"/>
      <c r="BB172" s="938"/>
      <c r="BC172" s="938"/>
      <c r="BD172" s="938"/>
      <c r="BE172" s="938"/>
      <c r="BF172" s="938"/>
      <c r="BG172" s="938"/>
      <c r="BH172" s="938"/>
      <c r="BI172" s="938"/>
      <c r="BJ172" s="938"/>
      <c r="BK172" s="938"/>
      <c r="BL172" s="938"/>
      <c r="BM172" s="938"/>
      <c r="BN172" s="938"/>
      <c r="BO172" s="938"/>
      <c r="BP172" s="938"/>
      <c r="BQ172" s="938"/>
      <c r="BR172" s="938"/>
      <c r="BS172" s="938"/>
      <c r="BT172" s="938"/>
      <c r="BU172" s="938"/>
      <c r="BV172" s="938"/>
      <c r="BW172" s="938"/>
      <c r="BX172" s="938"/>
      <c r="BY172" s="938"/>
      <c r="BZ172" s="938"/>
      <c r="CA172" s="938"/>
      <c r="CB172" s="938"/>
      <c r="CC172" s="938"/>
      <c r="CD172" s="938"/>
      <c r="CE172" s="938"/>
      <c r="CF172" s="938"/>
      <c r="CG172" s="938"/>
      <c r="CH172" s="938"/>
      <c r="CI172" s="938"/>
      <c r="CJ172" s="938"/>
      <c r="CK172" s="938"/>
      <c r="CL172" s="938"/>
      <c r="CM172" s="938"/>
      <c r="CN172" s="938"/>
      <c r="CO172" s="938"/>
      <c r="CP172" s="938"/>
      <c r="CQ172" s="938"/>
      <c r="CR172" s="938"/>
      <c r="CS172" s="938"/>
      <c r="CT172" s="938"/>
      <c r="CU172" s="938"/>
      <c r="CV172" s="938"/>
      <c r="CW172" s="938"/>
      <c r="CX172" s="938"/>
      <c r="CY172" s="938"/>
      <c r="CZ172" s="938"/>
      <c r="DA172" s="938"/>
      <c r="DB172" s="938"/>
      <c r="DC172" s="938"/>
      <c r="DD172" s="938"/>
      <c r="DE172" s="938"/>
      <c r="DF172" s="938"/>
      <c r="DG172" s="938"/>
      <c r="DH172" s="938"/>
      <c r="DI172" s="938"/>
      <c r="DJ172" s="938"/>
      <c r="DK172" s="938"/>
      <c r="DL172" s="938"/>
      <c r="DM172" s="938"/>
      <c r="DN172" s="938"/>
      <c r="DO172" s="938"/>
      <c r="DP172" s="938"/>
      <c r="DQ172" s="938"/>
      <c r="DR172" s="938"/>
      <c r="DS172" s="938"/>
      <c r="DT172" s="938"/>
      <c r="DU172" s="938"/>
      <c r="DV172" s="938"/>
      <c r="DW172" s="938"/>
      <c r="DX172" s="938"/>
      <c r="DY172" s="938"/>
      <c r="DZ172" s="938"/>
      <c r="EA172" s="938"/>
      <c r="EB172" s="938"/>
      <c r="EC172" s="938"/>
      <c r="ED172" s="938"/>
      <c r="EE172" s="938"/>
      <c r="EF172" s="938"/>
      <c r="EG172" s="938"/>
      <c r="EH172" s="938"/>
      <c r="EI172" s="938"/>
      <c r="EJ172" s="938"/>
      <c r="EK172" s="938"/>
      <c r="EL172" s="938"/>
      <c r="EM172" s="938"/>
      <c r="EN172" s="938"/>
      <c r="EO172" s="938"/>
      <c r="EP172" s="938"/>
      <c r="EQ172" s="938"/>
      <c r="ER172" s="938"/>
      <c r="ES172" s="938"/>
      <c r="ET172" s="938"/>
      <c r="EU172" s="938"/>
      <c r="EV172" s="938"/>
      <c r="EW172" s="938"/>
      <c r="EX172" s="938"/>
      <c r="EY172" s="938"/>
      <c r="EZ172" s="938"/>
      <c r="FA172" s="938"/>
      <c r="FB172" s="938"/>
      <c r="FC172" s="938"/>
      <c r="FD172" s="938"/>
      <c r="FE172" s="938"/>
      <c r="FF172" s="938"/>
      <c r="FG172" s="938"/>
      <c r="FH172" s="938"/>
      <c r="FI172" s="938"/>
      <c r="FJ172" s="938"/>
      <c r="FK172" s="938"/>
      <c r="FL172" s="938"/>
      <c r="FM172" s="938"/>
      <c r="FN172" s="938"/>
      <c r="FO172" s="938"/>
      <c r="FP172" s="938"/>
      <c r="FQ172" s="938"/>
      <c r="FR172" s="938"/>
      <c r="FS172" s="938"/>
      <c r="FT172" s="938"/>
      <c r="FU172" s="938"/>
      <c r="FV172" s="938"/>
      <c r="FW172" s="938"/>
      <c r="FX172" s="938"/>
      <c r="FY172" s="938"/>
      <c r="FZ172" s="938"/>
      <c r="GA172" s="938"/>
      <c r="GB172" s="938"/>
      <c r="GC172" s="938"/>
      <c r="GD172" s="938"/>
      <c r="GE172" s="938"/>
      <c r="GF172" s="938"/>
      <c r="GG172" s="938"/>
      <c r="GH172" s="938"/>
      <c r="GI172" s="938"/>
      <c r="GJ172" s="938"/>
      <c r="GK172" s="938"/>
      <c r="GL172" s="938"/>
      <c r="GM172" s="938"/>
      <c r="GN172" s="938"/>
      <c r="GO172" s="938"/>
      <c r="GP172" s="938"/>
      <c r="GQ172" s="938"/>
      <c r="GR172" s="938"/>
      <c r="GS172" s="938"/>
      <c r="GT172" s="938"/>
      <c r="GU172" s="938"/>
      <c r="GV172" s="938"/>
      <c r="GW172" s="938"/>
      <c r="GX172" s="938"/>
      <c r="GY172" s="938"/>
      <c r="GZ172" s="938"/>
      <c r="HA172" s="938"/>
      <c r="HB172" s="938"/>
      <c r="HC172" s="938"/>
      <c r="HD172" s="938"/>
      <c r="HE172" s="938"/>
      <c r="HF172" s="938"/>
      <c r="HG172" s="938"/>
      <c r="HH172" s="938"/>
      <c r="HI172" s="938"/>
      <c r="HJ172" s="938"/>
      <c r="HK172" s="938"/>
      <c r="HL172" s="938"/>
      <c r="HM172" s="938"/>
      <c r="HN172" s="938"/>
      <c r="HO172" s="938"/>
      <c r="HP172" s="938"/>
      <c r="HQ172" s="938"/>
      <c r="HR172" s="938"/>
    </row>
    <row r="173" spans="1:226" s="939" customFormat="1" ht="15" customHeight="1">
      <c r="A173" s="1519"/>
      <c r="B173" s="1500"/>
      <c r="C173" s="1501"/>
      <c r="D173" s="1502"/>
      <c r="E173" s="963" t="s">
        <v>296</v>
      </c>
      <c r="F173" s="964">
        <f t="shared" si="5"/>
        <v>28739</v>
      </c>
      <c r="G173" s="964"/>
      <c r="H173" s="964"/>
      <c r="I173" s="964">
        <v>28739</v>
      </c>
      <c r="J173" s="965"/>
      <c r="K173" s="938"/>
    </row>
    <row r="174" spans="1:226" s="939" customFormat="1" ht="15" customHeight="1">
      <c r="A174" s="1519"/>
      <c r="B174" s="1500"/>
      <c r="C174" s="1501"/>
      <c r="D174" s="1502"/>
      <c r="E174" s="963" t="s">
        <v>364</v>
      </c>
      <c r="F174" s="964">
        <f t="shared" si="5"/>
        <v>23086</v>
      </c>
      <c r="G174" s="964"/>
      <c r="H174" s="964">
        <v>23086</v>
      </c>
      <c r="I174" s="964"/>
      <c r="J174" s="965"/>
      <c r="K174" s="938"/>
    </row>
    <row r="175" spans="1:226" s="939" customFormat="1" ht="15" customHeight="1">
      <c r="A175" s="1519"/>
      <c r="B175" s="1500"/>
      <c r="C175" s="1501"/>
      <c r="D175" s="1502"/>
      <c r="E175" s="963" t="s">
        <v>298</v>
      </c>
      <c r="F175" s="964">
        <f t="shared" si="5"/>
        <v>4074</v>
      </c>
      <c r="G175" s="964"/>
      <c r="H175" s="964"/>
      <c r="I175" s="964">
        <v>4074</v>
      </c>
      <c r="J175" s="965"/>
      <c r="K175" s="938"/>
    </row>
    <row r="176" spans="1:226" s="939" customFormat="1" ht="15" customHeight="1">
      <c r="A176" s="1519"/>
      <c r="B176" s="1500"/>
      <c r="C176" s="1501"/>
      <c r="D176" s="1502"/>
      <c r="E176" s="963" t="s">
        <v>460</v>
      </c>
      <c r="F176" s="964">
        <f t="shared" si="5"/>
        <v>802400</v>
      </c>
      <c r="G176" s="964"/>
      <c r="H176" s="964">
        <v>802400</v>
      </c>
      <c r="I176" s="964"/>
      <c r="J176" s="965"/>
      <c r="K176" s="938"/>
    </row>
    <row r="177" spans="1:226" s="939" customFormat="1" ht="15" customHeight="1">
      <c r="A177" s="1519"/>
      <c r="B177" s="1500"/>
      <c r="C177" s="1501"/>
      <c r="D177" s="1502"/>
      <c r="E177" s="963" t="s">
        <v>300</v>
      </c>
      <c r="F177" s="964">
        <f t="shared" si="5"/>
        <v>141600</v>
      </c>
      <c r="G177" s="964"/>
      <c r="H177" s="964"/>
      <c r="I177" s="964">
        <v>141600</v>
      </c>
      <c r="J177" s="965"/>
      <c r="K177" s="938"/>
    </row>
    <row r="178" spans="1:226" s="939" customFormat="1" ht="21.95" customHeight="1">
      <c r="A178" s="1519"/>
      <c r="B178" s="1500"/>
      <c r="C178" s="1501"/>
      <c r="D178" s="1502"/>
      <c r="E178" s="960" t="s">
        <v>945</v>
      </c>
      <c r="F178" s="961">
        <f>SUM(F179:F184)</f>
        <v>3573411</v>
      </c>
      <c r="G178" s="961">
        <f>SUM(G179:G184)</f>
        <v>0</v>
      </c>
      <c r="H178" s="961">
        <f>SUM(H179:H184)</f>
        <v>3037400</v>
      </c>
      <c r="I178" s="961">
        <f>SUM(I179:I184)</f>
        <v>536011</v>
      </c>
      <c r="J178" s="962">
        <f>SUM(J179:J184)</f>
        <v>0</v>
      </c>
      <c r="K178" s="938"/>
    </row>
    <row r="179" spans="1:226" s="939" customFormat="1" ht="15" customHeight="1">
      <c r="A179" s="1519"/>
      <c r="B179" s="1500"/>
      <c r="C179" s="1501"/>
      <c r="D179" s="1502"/>
      <c r="E179" s="963" t="s">
        <v>627</v>
      </c>
      <c r="F179" s="964">
        <f t="shared" ref="F179:F184" si="6">SUM(G179:J179)</f>
        <v>3009000</v>
      </c>
      <c r="G179" s="964"/>
      <c r="H179" s="964">
        <v>3009000</v>
      </c>
      <c r="I179" s="964"/>
      <c r="J179" s="965"/>
      <c r="K179" s="938"/>
    </row>
    <row r="180" spans="1:226" s="939" customFormat="1" ht="15" customHeight="1">
      <c r="A180" s="1519"/>
      <c r="B180" s="1500"/>
      <c r="C180" s="1501"/>
      <c r="D180" s="1502"/>
      <c r="E180" s="963" t="s">
        <v>628</v>
      </c>
      <c r="F180" s="964">
        <f t="shared" si="6"/>
        <v>531000</v>
      </c>
      <c r="G180" s="964"/>
      <c r="H180" s="964"/>
      <c r="I180" s="964">
        <v>531000</v>
      </c>
      <c r="J180" s="965"/>
      <c r="K180" s="938"/>
    </row>
    <row r="181" spans="1:226" s="939" customFormat="1" ht="15" customHeight="1">
      <c r="A181" s="1519"/>
      <c r="B181" s="1500"/>
      <c r="C181" s="1501"/>
      <c r="D181" s="1502"/>
      <c r="E181" s="963" t="s">
        <v>365</v>
      </c>
      <c r="F181" s="964">
        <f t="shared" si="6"/>
        <v>8500</v>
      </c>
      <c r="G181" s="964"/>
      <c r="H181" s="964">
        <v>8500</v>
      </c>
      <c r="I181" s="964"/>
      <c r="J181" s="965"/>
      <c r="K181" s="938"/>
    </row>
    <row r="182" spans="1:226" s="939" customFormat="1" ht="15" customHeight="1">
      <c r="A182" s="1519"/>
      <c r="B182" s="1500"/>
      <c r="C182" s="1501"/>
      <c r="D182" s="1502"/>
      <c r="E182" s="963" t="s">
        <v>302</v>
      </c>
      <c r="F182" s="964">
        <f t="shared" si="6"/>
        <v>1500</v>
      </c>
      <c r="G182" s="964"/>
      <c r="H182" s="964"/>
      <c r="I182" s="964">
        <v>1500</v>
      </c>
      <c r="J182" s="965"/>
      <c r="K182" s="938"/>
    </row>
    <row r="183" spans="1:226" s="939" customFormat="1" ht="15" customHeight="1">
      <c r="A183" s="1519"/>
      <c r="B183" s="1500"/>
      <c r="C183" s="1501"/>
      <c r="D183" s="1502"/>
      <c r="E183" s="963" t="s">
        <v>367</v>
      </c>
      <c r="F183" s="964">
        <f t="shared" si="6"/>
        <v>19900</v>
      </c>
      <c r="G183" s="964"/>
      <c r="H183" s="964">
        <v>19900</v>
      </c>
      <c r="I183" s="964"/>
      <c r="J183" s="965"/>
      <c r="K183" s="938"/>
      <c r="L183" s="938"/>
      <c r="M183" s="938"/>
      <c r="N183" s="938"/>
      <c r="O183" s="938"/>
      <c r="P183" s="938"/>
      <c r="Q183" s="938"/>
      <c r="R183" s="938"/>
      <c r="S183" s="938"/>
      <c r="T183" s="938"/>
      <c r="U183" s="938"/>
      <c r="V183" s="938"/>
      <c r="W183" s="938"/>
      <c r="X183" s="938"/>
      <c r="Y183" s="938"/>
      <c r="Z183" s="938"/>
      <c r="AA183" s="938"/>
      <c r="AB183" s="938"/>
      <c r="AC183" s="938"/>
      <c r="AD183" s="938"/>
      <c r="AE183" s="938"/>
      <c r="AF183" s="938"/>
      <c r="AG183" s="938"/>
      <c r="AH183" s="938"/>
      <c r="AI183" s="938"/>
      <c r="AJ183" s="938"/>
      <c r="AK183" s="938"/>
      <c r="AL183" s="938"/>
      <c r="AM183" s="938"/>
      <c r="AN183" s="938"/>
      <c r="AO183" s="938"/>
      <c r="AP183" s="938"/>
      <c r="AQ183" s="938"/>
      <c r="AR183" s="938"/>
      <c r="AS183" s="938"/>
      <c r="AT183" s="938"/>
      <c r="AU183" s="938"/>
      <c r="AV183" s="938"/>
      <c r="AW183" s="938"/>
      <c r="AX183" s="938"/>
      <c r="AY183" s="938"/>
      <c r="AZ183" s="938"/>
      <c r="BA183" s="938"/>
      <c r="BB183" s="938"/>
      <c r="BC183" s="938"/>
      <c r="BD183" s="938"/>
      <c r="BE183" s="938"/>
      <c r="BF183" s="938"/>
      <c r="BG183" s="938"/>
      <c r="BH183" s="938"/>
      <c r="BI183" s="938"/>
      <c r="BJ183" s="938"/>
      <c r="BK183" s="938"/>
      <c r="BL183" s="938"/>
      <c r="BM183" s="938"/>
      <c r="BN183" s="938"/>
      <c r="BO183" s="938"/>
      <c r="BP183" s="938"/>
      <c r="BQ183" s="938"/>
      <c r="BR183" s="938"/>
      <c r="BS183" s="938"/>
      <c r="BT183" s="938"/>
      <c r="BU183" s="938"/>
      <c r="BV183" s="938"/>
      <c r="BW183" s="938"/>
      <c r="BX183" s="938"/>
      <c r="BY183" s="938"/>
      <c r="BZ183" s="938"/>
      <c r="CA183" s="938"/>
      <c r="CB183" s="938"/>
      <c r="CC183" s="938"/>
      <c r="CD183" s="938"/>
      <c r="CE183" s="938"/>
      <c r="CF183" s="938"/>
      <c r="CG183" s="938"/>
      <c r="CH183" s="938"/>
      <c r="CI183" s="938"/>
      <c r="CJ183" s="938"/>
      <c r="CK183" s="938"/>
      <c r="CL183" s="938"/>
      <c r="CM183" s="938"/>
      <c r="CN183" s="938"/>
      <c r="CO183" s="938"/>
      <c r="CP183" s="938"/>
      <c r="CQ183" s="938"/>
      <c r="CR183" s="938"/>
      <c r="CS183" s="938"/>
      <c r="CT183" s="938"/>
      <c r="CU183" s="938"/>
      <c r="CV183" s="938"/>
      <c r="CW183" s="938"/>
      <c r="CX183" s="938"/>
      <c r="CY183" s="938"/>
      <c r="CZ183" s="938"/>
      <c r="DA183" s="938"/>
      <c r="DB183" s="938"/>
      <c r="DC183" s="938"/>
      <c r="DD183" s="938"/>
      <c r="DE183" s="938"/>
      <c r="DF183" s="938"/>
      <c r="DG183" s="938"/>
      <c r="DH183" s="938"/>
      <c r="DI183" s="938"/>
      <c r="DJ183" s="938"/>
      <c r="DK183" s="938"/>
      <c r="DL183" s="938"/>
      <c r="DM183" s="938"/>
      <c r="DN183" s="938"/>
      <c r="DO183" s="938"/>
      <c r="DP183" s="938"/>
      <c r="DQ183" s="938"/>
      <c r="DR183" s="938"/>
      <c r="DS183" s="938"/>
      <c r="DT183" s="938"/>
      <c r="DU183" s="938"/>
      <c r="DV183" s="938"/>
      <c r="DW183" s="938"/>
      <c r="DX183" s="938"/>
      <c r="DY183" s="938"/>
      <c r="DZ183" s="938"/>
      <c r="EA183" s="938"/>
      <c r="EB183" s="938"/>
      <c r="EC183" s="938"/>
      <c r="ED183" s="938"/>
      <c r="EE183" s="938"/>
      <c r="EF183" s="938"/>
      <c r="EG183" s="938"/>
      <c r="EH183" s="938"/>
      <c r="EI183" s="938"/>
      <c r="EJ183" s="938"/>
      <c r="EK183" s="938"/>
      <c r="EL183" s="938"/>
      <c r="EM183" s="938"/>
      <c r="EN183" s="938"/>
      <c r="EO183" s="938"/>
      <c r="EP183" s="938"/>
      <c r="EQ183" s="938"/>
      <c r="ER183" s="938"/>
      <c r="ES183" s="938"/>
      <c r="ET183" s="938"/>
      <c r="EU183" s="938"/>
      <c r="EV183" s="938"/>
      <c r="EW183" s="938"/>
      <c r="EX183" s="938"/>
      <c r="EY183" s="938"/>
      <c r="EZ183" s="938"/>
      <c r="FA183" s="938"/>
      <c r="FB183" s="938"/>
      <c r="FC183" s="938"/>
      <c r="FD183" s="938"/>
      <c r="FE183" s="938"/>
      <c r="FF183" s="938"/>
      <c r="FG183" s="938"/>
      <c r="FH183" s="938"/>
      <c r="FI183" s="938"/>
      <c r="FJ183" s="938"/>
      <c r="FK183" s="938"/>
      <c r="FL183" s="938"/>
      <c r="FM183" s="938"/>
      <c r="FN183" s="938"/>
      <c r="FO183" s="938"/>
      <c r="FP183" s="938"/>
      <c r="FQ183" s="938"/>
      <c r="FR183" s="938"/>
      <c r="FS183" s="938"/>
      <c r="FT183" s="938"/>
      <c r="FU183" s="938"/>
      <c r="FV183" s="938"/>
      <c r="FW183" s="938"/>
      <c r="FX183" s="938"/>
      <c r="FY183" s="938"/>
      <c r="FZ183" s="938"/>
      <c r="GA183" s="938"/>
      <c r="GB183" s="938"/>
      <c r="GC183" s="938"/>
      <c r="GD183" s="938"/>
      <c r="GE183" s="938"/>
      <c r="GF183" s="938"/>
      <c r="GG183" s="938"/>
      <c r="GH183" s="938"/>
      <c r="GI183" s="938"/>
      <c r="GJ183" s="938"/>
      <c r="GK183" s="938"/>
      <c r="GL183" s="938"/>
      <c r="GM183" s="938"/>
      <c r="GN183" s="938"/>
      <c r="GO183" s="938"/>
      <c r="GP183" s="938"/>
      <c r="GQ183" s="938"/>
      <c r="GR183" s="938"/>
      <c r="GS183" s="938"/>
      <c r="GT183" s="938"/>
      <c r="GU183" s="938"/>
      <c r="GV183" s="938"/>
      <c r="GW183" s="938"/>
      <c r="GX183" s="938"/>
      <c r="GY183" s="938"/>
      <c r="GZ183" s="938"/>
      <c r="HA183" s="938"/>
      <c r="HB183" s="938"/>
      <c r="HC183" s="938"/>
      <c r="HD183" s="938"/>
      <c r="HE183" s="938"/>
      <c r="HF183" s="938"/>
      <c r="HG183" s="938"/>
      <c r="HH183" s="938"/>
      <c r="HI183" s="938"/>
      <c r="HJ183" s="938"/>
      <c r="HK183" s="938"/>
      <c r="HL183" s="938"/>
      <c r="HM183" s="938"/>
      <c r="HN183" s="938"/>
      <c r="HO183" s="938"/>
      <c r="HP183" s="938"/>
      <c r="HQ183" s="938"/>
      <c r="HR183" s="938"/>
    </row>
    <row r="184" spans="1:226" s="939" customFormat="1" ht="15" customHeight="1">
      <c r="A184" s="1519"/>
      <c r="B184" s="1500"/>
      <c r="C184" s="1501"/>
      <c r="D184" s="1502"/>
      <c r="E184" s="963" t="s">
        <v>368</v>
      </c>
      <c r="F184" s="964">
        <f t="shared" si="6"/>
        <v>3511</v>
      </c>
      <c r="G184" s="964"/>
      <c r="H184" s="964"/>
      <c r="I184" s="964">
        <v>3511</v>
      </c>
      <c r="J184" s="965"/>
      <c r="K184" s="938"/>
    </row>
    <row r="185" spans="1:226" s="939" customFormat="1" ht="20.100000000000001" customHeight="1">
      <c r="A185" s="1519"/>
      <c r="B185" s="1500"/>
      <c r="C185" s="1501"/>
      <c r="D185" s="1502"/>
      <c r="E185" s="966" t="s">
        <v>939</v>
      </c>
      <c r="F185" s="958">
        <f>SUM(F186:F187)</f>
        <v>0</v>
      </c>
      <c r="G185" s="958">
        <f>SUM(G186:G187)</f>
        <v>0</v>
      </c>
      <c r="H185" s="958">
        <f>SUM(H186:H187)</f>
        <v>0</v>
      </c>
      <c r="I185" s="958">
        <f>SUM(I186:I187)</f>
        <v>0</v>
      </c>
      <c r="J185" s="959">
        <f>SUM(J186:J187)</f>
        <v>0</v>
      </c>
      <c r="K185" s="938"/>
    </row>
    <row r="186" spans="1:226" s="939" customFormat="1" ht="24.95" hidden="1" customHeight="1">
      <c r="A186" s="1519"/>
      <c r="B186" s="1500"/>
      <c r="C186" s="1501"/>
      <c r="D186" s="1502"/>
      <c r="E186" s="963"/>
      <c r="F186" s="964">
        <f>SUM(G186:J186)</f>
        <v>0</v>
      </c>
      <c r="G186" s="964"/>
      <c r="H186" s="964"/>
      <c r="I186" s="964"/>
      <c r="J186" s="965"/>
      <c r="K186" s="938"/>
    </row>
    <row r="187" spans="1:226" s="939" customFormat="1" ht="24.95" hidden="1" customHeight="1">
      <c r="A187" s="1519"/>
      <c r="B187" s="1500"/>
      <c r="C187" s="1501"/>
      <c r="D187" s="1502"/>
      <c r="E187" s="975"/>
      <c r="F187" s="964">
        <f>SUM(G187:J187)</f>
        <v>0</v>
      </c>
      <c r="G187" s="964"/>
      <c r="H187" s="964"/>
      <c r="I187" s="964"/>
      <c r="J187" s="965"/>
      <c r="K187" s="938"/>
    </row>
    <row r="188" spans="1:226" s="939" customFormat="1" ht="23.1" customHeight="1">
      <c r="A188" s="1519" t="s">
        <v>967</v>
      </c>
      <c r="B188" s="1500" t="s">
        <v>968</v>
      </c>
      <c r="C188" s="1501">
        <v>630</v>
      </c>
      <c r="D188" s="1502" t="s">
        <v>391</v>
      </c>
      <c r="E188" s="954" t="s">
        <v>937</v>
      </c>
      <c r="F188" s="955">
        <f>SUM(F189,F206)</f>
        <v>252000</v>
      </c>
      <c r="G188" s="955">
        <f>SUM(G189,G206)</f>
        <v>0</v>
      </c>
      <c r="H188" s="955">
        <f>SUM(H189,H206)</f>
        <v>210450</v>
      </c>
      <c r="I188" s="955">
        <f>SUM(I189,I206)</f>
        <v>41550</v>
      </c>
      <c r="J188" s="956">
        <f>SUM(J189,J206)</f>
        <v>0</v>
      </c>
      <c r="K188" s="938"/>
    </row>
    <row r="189" spans="1:226" s="939" customFormat="1" ht="23.1" customHeight="1">
      <c r="A189" s="1519"/>
      <c r="B189" s="1500"/>
      <c r="C189" s="1501"/>
      <c r="D189" s="1502"/>
      <c r="E189" s="957" t="s">
        <v>943</v>
      </c>
      <c r="F189" s="958">
        <f>SUM(F190,F199)</f>
        <v>170000</v>
      </c>
      <c r="G189" s="958">
        <f>SUM(G190,G199)</f>
        <v>0</v>
      </c>
      <c r="H189" s="958">
        <f>SUM(H190,H199)</f>
        <v>140750</v>
      </c>
      <c r="I189" s="958">
        <f>SUM(I190,I199)</f>
        <v>29250</v>
      </c>
      <c r="J189" s="959">
        <f>SUM(J190,J199)</f>
        <v>0</v>
      </c>
      <c r="K189" s="938"/>
    </row>
    <row r="190" spans="1:226" s="939" customFormat="1" ht="21.95" customHeight="1">
      <c r="A190" s="1519"/>
      <c r="B190" s="1500"/>
      <c r="C190" s="1501"/>
      <c r="D190" s="1502"/>
      <c r="E190" s="960" t="s">
        <v>944</v>
      </c>
      <c r="F190" s="961">
        <f>SUM(F191:F198)</f>
        <v>48000</v>
      </c>
      <c r="G190" s="961">
        <f>SUM(G191:G198)</f>
        <v>0</v>
      </c>
      <c r="H190" s="961">
        <f>SUM(H191:H198)</f>
        <v>37200</v>
      </c>
      <c r="I190" s="961">
        <f>SUM(I191:I198)</f>
        <v>10800</v>
      </c>
      <c r="J190" s="962">
        <f>SUM(J191:J198)</f>
        <v>0</v>
      </c>
      <c r="K190" s="938"/>
    </row>
    <row r="191" spans="1:226" s="939" customFormat="1" ht="15" customHeight="1">
      <c r="A191" s="1519"/>
      <c r="B191" s="1500"/>
      <c r="C191" s="1501"/>
      <c r="D191" s="1502"/>
      <c r="E191" s="963" t="s">
        <v>362</v>
      </c>
      <c r="F191" s="964">
        <f t="shared" ref="F191:F198" si="7">SUM(G191:J191)</f>
        <v>31093</v>
      </c>
      <c r="G191" s="964"/>
      <c r="H191" s="964">
        <v>31093</v>
      </c>
      <c r="I191" s="964"/>
      <c r="J191" s="965"/>
      <c r="K191" s="938"/>
    </row>
    <row r="192" spans="1:226" s="939" customFormat="1" ht="15" customHeight="1">
      <c r="A192" s="1519"/>
      <c r="B192" s="1500"/>
      <c r="C192" s="1501"/>
      <c r="D192" s="1502"/>
      <c r="E192" s="963" t="s">
        <v>292</v>
      </c>
      <c r="F192" s="964">
        <f t="shared" si="7"/>
        <v>9027</v>
      </c>
      <c r="G192" s="964"/>
      <c r="H192" s="964"/>
      <c r="I192" s="964">
        <v>9027</v>
      </c>
      <c r="J192" s="965"/>
      <c r="K192" s="938"/>
    </row>
    <row r="193" spans="1:226" s="939" customFormat="1" ht="15" customHeight="1">
      <c r="A193" s="1519"/>
      <c r="B193" s="1500"/>
      <c r="C193" s="1501"/>
      <c r="D193" s="1502"/>
      <c r="E193" s="963" t="s">
        <v>363</v>
      </c>
      <c r="F193" s="964">
        <f t="shared" si="7"/>
        <v>5345</v>
      </c>
      <c r="G193" s="964"/>
      <c r="H193" s="964">
        <v>5345</v>
      </c>
      <c r="I193" s="964"/>
      <c r="J193" s="965"/>
      <c r="K193" s="938"/>
      <c r="L193" s="938"/>
      <c r="M193" s="938"/>
      <c r="N193" s="938"/>
      <c r="O193" s="938"/>
      <c r="P193" s="938"/>
      <c r="Q193" s="938"/>
      <c r="R193" s="938"/>
      <c r="S193" s="938"/>
      <c r="T193" s="938"/>
      <c r="U193" s="938"/>
      <c r="V193" s="938"/>
      <c r="W193" s="938"/>
      <c r="X193" s="938"/>
      <c r="Y193" s="938"/>
      <c r="Z193" s="938"/>
      <c r="AA193" s="938"/>
      <c r="AB193" s="938"/>
      <c r="AC193" s="938"/>
      <c r="AD193" s="938"/>
      <c r="AE193" s="938"/>
      <c r="AF193" s="938"/>
      <c r="AG193" s="938"/>
      <c r="AH193" s="938"/>
      <c r="AI193" s="938"/>
      <c r="AJ193" s="938"/>
      <c r="AK193" s="938"/>
      <c r="AL193" s="938"/>
      <c r="AM193" s="938"/>
      <c r="AN193" s="938"/>
      <c r="AO193" s="938"/>
      <c r="AP193" s="938"/>
      <c r="AQ193" s="938"/>
      <c r="AR193" s="938"/>
      <c r="AS193" s="938"/>
      <c r="AT193" s="938"/>
      <c r="AU193" s="938"/>
      <c r="AV193" s="938"/>
      <c r="AW193" s="938"/>
      <c r="AX193" s="938"/>
      <c r="AY193" s="938"/>
      <c r="AZ193" s="938"/>
      <c r="BA193" s="938"/>
      <c r="BB193" s="938"/>
      <c r="BC193" s="938"/>
      <c r="BD193" s="938"/>
      <c r="BE193" s="938"/>
      <c r="BF193" s="938"/>
      <c r="BG193" s="938"/>
      <c r="BH193" s="938"/>
      <c r="BI193" s="938"/>
      <c r="BJ193" s="938"/>
      <c r="BK193" s="938"/>
      <c r="BL193" s="938"/>
      <c r="BM193" s="938"/>
      <c r="BN193" s="938"/>
      <c r="BO193" s="938"/>
      <c r="BP193" s="938"/>
      <c r="BQ193" s="938"/>
      <c r="BR193" s="938"/>
      <c r="BS193" s="938"/>
      <c r="BT193" s="938"/>
      <c r="BU193" s="938"/>
      <c r="BV193" s="938"/>
      <c r="BW193" s="938"/>
      <c r="BX193" s="938"/>
      <c r="BY193" s="938"/>
      <c r="BZ193" s="938"/>
      <c r="CA193" s="938"/>
      <c r="CB193" s="938"/>
      <c r="CC193" s="938"/>
      <c r="CD193" s="938"/>
      <c r="CE193" s="938"/>
      <c r="CF193" s="938"/>
      <c r="CG193" s="938"/>
      <c r="CH193" s="938"/>
      <c r="CI193" s="938"/>
      <c r="CJ193" s="938"/>
      <c r="CK193" s="938"/>
      <c r="CL193" s="938"/>
      <c r="CM193" s="938"/>
      <c r="CN193" s="938"/>
      <c r="CO193" s="938"/>
      <c r="CP193" s="938"/>
      <c r="CQ193" s="938"/>
      <c r="CR193" s="938"/>
      <c r="CS193" s="938"/>
      <c r="CT193" s="938"/>
      <c r="CU193" s="938"/>
      <c r="CV193" s="938"/>
      <c r="CW193" s="938"/>
      <c r="CX193" s="938"/>
      <c r="CY193" s="938"/>
      <c r="CZ193" s="938"/>
      <c r="DA193" s="938"/>
      <c r="DB193" s="938"/>
      <c r="DC193" s="938"/>
      <c r="DD193" s="938"/>
      <c r="DE193" s="938"/>
      <c r="DF193" s="938"/>
      <c r="DG193" s="938"/>
      <c r="DH193" s="938"/>
      <c r="DI193" s="938"/>
      <c r="DJ193" s="938"/>
      <c r="DK193" s="938"/>
      <c r="DL193" s="938"/>
      <c r="DM193" s="938"/>
      <c r="DN193" s="938"/>
      <c r="DO193" s="938"/>
      <c r="DP193" s="938"/>
      <c r="DQ193" s="938"/>
      <c r="DR193" s="938"/>
      <c r="DS193" s="938"/>
      <c r="DT193" s="938"/>
      <c r="DU193" s="938"/>
      <c r="DV193" s="938"/>
      <c r="DW193" s="938"/>
      <c r="DX193" s="938"/>
      <c r="DY193" s="938"/>
      <c r="DZ193" s="938"/>
      <c r="EA193" s="938"/>
      <c r="EB193" s="938"/>
      <c r="EC193" s="938"/>
      <c r="ED193" s="938"/>
      <c r="EE193" s="938"/>
      <c r="EF193" s="938"/>
      <c r="EG193" s="938"/>
      <c r="EH193" s="938"/>
      <c r="EI193" s="938"/>
      <c r="EJ193" s="938"/>
      <c r="EK193" s="938"/>
      <c r="EL193" s="938"/>
      <c r="EM193" s="938"/>
      <c r="EN193" s="938"/>
      <c r="EO193" s="938"/>
      <c r="EP193" s="938"/>
      <c r="EQ193" s="938"/>
      <c r="ER193" s="938"/>
      <c r="ES193" s="938"/>
      <c r="ET193" s="938"/>
      <c r="EU193" s="938"/>
      <c r="EV193" s="938"/>
      <c r="EW193" s="938"/>
      <c r="EX193" s="938"/>
      <c r="EY193" s="938"/>
      <c r="EZ193" s="938"/>
      <c r="FA193" s="938"/>
      <c r="FB193" s="938"/>
      <c r="FC193" s="938"/>
      <c r="FD193" s="938"/>
      <c r="FE193" s="938"/>
      <c r="FF193" s="938"/>
      <c r="FG193" s="938"/>
      <c r="FH193" s="938"/>
      <c r="FI193" s="938"/>
      <c r="FJ193" s="938"/>
      <c r="FK193" s="938"/>
      <c r="FL193" s="938"/>
      <c r="FM193" s="938"/>
      <c r="FN193" s="938"/>
      <c r="FO193" s="938"/>
      <c r="FP193" s="938"/>
      <c r="FQ193" s="938"/>
      <c r="FR193" s="938"/>
      <c r="FS193" s="938"/>
      <c r="FT193" s="938"/>
      <c r="FU193" s="938"/>
      <c r="FV193" s="938"/>
      <c r="FW193" s="938"/>
      <c r="FX193" s="938"/>
      <c r="FY193" s="938"/>
      <c r="FZ193" s="938"/>
      <c r="GA193" s="938"/>
      <c r="GB193" s="938"/>
      <c r="GC193" s="938"/>
      <c r="GD193" s="938"/>
      <c r="GE193" s="938"/>
      <c r="GF193" s="938"/>
      <c r="GG193" s="938"/>
      <c r="GH193" s="938"/>
      <c r="GI193" s="938"/>
      <c r="GJ193" s="938"/>
      <c r="GK193" s="938"/>
      <c r="GL193" s="938"/>
      <c r="GM193" s="938"/>
      <c r="GN193" s="938"/>
      <c r="GO193" s="938"/>
      <c r="GP193" s="938"/>
      <c r="GQ193" s="938"/>
      <c r="GR193" s="938"/>
      <c r="GS193" s="938"/>
      <c r="GT193" s="938"/>
      <c r="GU193" s="938"/>
      <c r="GV193" s="938"/>
      <c r="GW193" s="938"/>
      <c r="GX193" s="938"/>
      <c r="GY193" s="938"/>
      <c r="GZ193" s="938"/>
      <c r="HA193" s="938"/>
      <c r="HB193" s="938"/>
      <c r="HC193" s="938"/>
      <c r="HD193" s="938"/>
      <c r="HE193" s="938"/>
      <c r="HF193" s="938"/>
      <c r="HG193" s="938"/>
      <c r="HH193" s="938"/>
      <c r="HI193" s="938"/>
      <c r="HJ193" s="938"/>
      <c r="HK193" s="938"/>
      <c r="HL193" s="938"/>
      <c r="HM193" s="938"/>
      <c r="HN193" s="938"/>
      <c r="HO193" s="938"/>
      <c r="HP193" s="938"/>
      <c r="HQ193" s="938"/>
      <c r="HR193" s="938"/>
    </row>
    <row r="194" spans="1:226" s="939" customFormat="1" ht="15" customHeight="1">
      <c r="A194" s="1519"/>
      <c r="B194" s="1500"/>
      <c r="C194" s="1501"/>
      <c r="D194" s="1502"/>
      <c r="E194" s="963" t="s">
        <v>296</v>
      </c>
      <c r="F194" s="964">
        <f t="shared" si="7"/>
        <v>1552</v>
      </c>
      <c r="G194" s="964"/>
      <c r="H194" s="964"/>
      <c r="I194" s="964">
        <v>1552</v>
      </c>
      <c r="J194" s="965"/>
      <c r="K194" s="938"/>
    </row>
    <row r="195" spans="1:226" s="939" customFormat="1" ht="15" customHeight="1">
      <c r="A195" s="1519"/>
      <c r="B195" s="1500"/>
      <c r="C195" s="1501"/>
      <c r="D195" s="1502"/>
      <c r="E195" s="963" t="s">
        <v>364</v>
      </c>
      <c r="F195" s="964">
        <f t="shared" si="7"/>
        <v>762</v>
      </c>
      <c r="G195" s="964"/>
      <c r="H195" s="964">
        <v>762</v>
      </c>
      <c r="I195" s="964"/>
      <c r="J195" s="965"/>
      <c r="K195" s="938"/>
    </row>
    <row r="196" spans="1:226" s="939" customFormat="1" ht="15" customHeight="1">
      <c r="A196" s="1519"/>
      <c r="B196" s="1500"/>
      <c r="C196" s="1501"/>
      <c r="D196" s="1502"/>
      <c r="E196" s="963" t="s">
        <v>298</v>
      </c>
      <c r="F196" s="964">
        <f t="shared" si="7"/>
        <v>221</v>
      </c>
      <c r="G196" s="964"/>
      <c r="H196" s="964"/>
      <c r="I196" s="964">
        <v>221</v>
      </c>
      <c r="J196" s="965"/>
      <c r="K196" s="938"/>
    </row>
    <row r="197" spans="1:226" s="939" customFormat="1" ht="15" hidden="1" customHeight="1">
      <c r="A197" s="1519"/>
      <c r="B197" s="1500"/>
      <c r="C197" s="1501"/>
      <c r="D197" s="1502"/>
      <c r="E197" s="963" t="s">
        <v>460</v>
      </c>
      <c r="F197" s="964">
        <f t="shared" si="7"/>
        <v>0</v>
      </c>
      <c r="G197" s="964"/>
      <c r="H197" s="964"/>
      <c r="I197" s="964"/>
      <c r="J197" s="965"/>
      <c r="K197" s="938"/>
    </row>
    <row r="198" spans="1:226" s="939" customFormat="1" ht="15" hidden="1" customHeight="1">
      <c r="A198" s="1519"/>
      <c r="B198" s="1500"/>
      <c r="C198" s="1501"/>
      <c r="D198" s="1502"/>
      <c r="E198" s="963" t="s">
        <v>300</v>
      </c>
      <c r="F198" s="964">
        <f t="shared" si="7"/>
        <v>0</v>
      </c>
      <c r="G198" s="964"/>
      <c r="H198" s="964"/>
      <c r="I198" s="964"/>
      <c r="J198" s="965"/>
      <c r="K198" s="938"/>
    </row>
    <row r="199" spans="1:226" s="939" customFormat="1" ht="21.95" customHeight="1">
      <c r="A199" s="1519"/>
      <c r="B199" s="1500"/>
      <c r="C199" s="1501"/>
      <c r="D199" s="1502"/>
      <c r="E199" s="960" t="s">
        <v>945</v>
      </c>
      <c r="F199" s="961">
        <f>SUM(F200:F205)</f>
        <v>122000</v>
      </c>
      <c r="G199" s="961">
        <f>SUM(G200:G205)</f>
        <v>0</v>
      </c>
      <c r="H199" s="961">
        <f>SUM(H200:H205)</f>
        <v>103550</v>
      </c>
      <c r="I199" s="961">
        <f>SUM(I200:I205)</f>
        <v>18450</v>
      </c>
      <c r="J199" s="962">
        <f>SUM(J200:J205)</f>
        <v>0</v>
      </c>
      <c r="K199" s="938"/>
    </row>
    <row r="200" spans="1:226" s="939" customFormat="1" ht="15" customHeight="1">
      <c r="A200" s="1519"/>
      <c r="B200" s="1500"/>
      <c r="C200" s="1501"/>
      <c r="D200" s="1502"/>
      <c r="E200" s="963" t="s">
        <v>366</v>
      </c>
      <c r="F200" s="964">
        <f t="shared" ref="F200:F205" si="8">SUM(G200:J200)</f>
        <v>102000</v>
      </c>
      <c r="G200" s="964"/>
      <c r="H200" s="964">
        <v>102000</v>
      </c>
      <c r="I200" s="964"/>
      <c r="J200" s="965"/>
      <c r="K200" s="938"/>
    </row>
    <row r="201" spans="1:226" s="939" customFormat="1" ht="15" customHeight="1">
      <c r="A201" s="1519"/>
      <c r="B201" s="1500"/>
      <c r="C201" s="1501"/>
      <c r="D201" s="1502"/>
      <c r="E201" s="963" t="s">
        <v>304</v>
      </c>
      <c r="F201" s="964">
        <f t="shared" si="8"/>
        <v>18000</v>
      </c>
      <c r="G201" s="964"/>
      <c r="H201" s="964"/>
      <c r="I201" s="964">
        <v>18000</v>
      </c>
      <c r="J201" s="965"/>
      <c r="K201" s="938"/>
    </row>
    <row r="202" spans="1:226" s="939" customFormat="1" ht="15" customHeight="1">
      <c r="A202" s="1519"/>
      <c r="B202" s="1500"/>
      <c r="C202" s="1501"/>
      <c r="D202" s="1502"/>
      <c r="E202" s="963" t="s">
        <v>392</v>
      </c>
      <c r="F202" s="964">
        <f t="shared" si="8"/>
        <v>775</v>
      </c>
      <c r="G202" s="964"/>
      <c r="H202" s="964">
        <v>775</v>
      </c>
      <c r="I202" s="964"/>
      <c r="J202" s="965"/>
      <c r="K202" s="938"/>
    </row>
    <row r="203" spans="1:226" s="939" customFormat="1" ht="15" customHeight="1">
      <c r="A203" s="1519"/>
      <c r="B203" s="1500"/>
      <c r="C203" s="1501"/>
      <c r="D203" s="1502"/>
      <c r="E203" s="963" t="s">
        <v>310</v>
      </c>
      <c r="F203" s="964">
        <f t="shared" si="8"/>
        <v>225</v>
      </c>
      <c r="G203" s="964"/>
      <c r="H203" s="964"/>
      <c r="I203" s="964">
        <v>225</v>
      </c>
      <c r="J203" s="965"/>
      <c r="K203" s="938"/>
    </row>
    <row r="204" spans="1:226" s="939" customFormat="1" ht="15" customHeight="1">
      <c r="A204" s="1519"/>
      <c r="B204" s="1500"/>
      <c r="C204" s="1501"/>
      <c r="D204" s="1502"/>
      <c r="E204" s="963" t="s">
        <v>393</v>
      </c>
      <c r="F204" s="964">
        <f t="shared" si="8"/>
        <v>775</v>
      </c>
      <c r="G204" s="964"/>
      <c r="H204" s="964">
        <v>775</v>
      </c>
      <c r="I204" s="964"/>
      <c r="J204" s="965"/>
      <c r="K204" s="938"/>
      <c r="L204" s="938"/>
      <c r="M204" s="938"/>
      <c r="N204" s="938"/>
      <c r="O204" s="938"/>
      <c r="P204" s="938"/>
      <c r="Q204" s="938"/>
      <c r="R204" s="938"/>
      <c r="S204" s="938"/>
      <c r="T204" s="938"/>
      <c r="U204" s="938"/>
      <c r="V204" s="938"/>
      <c r="W204" s="938"/>
      <c r="X204" s="938"/>
      <c r="Y204" s="938"/>
      <c r="Z204" s="938"/>
      <c r="AA204" s="938"/>
      <c r="AB204" s="938"/>
      <c r="AC204" s="938"/>
      <c r="AD204" s="938"/>
      <c r="AE204" s="938"/>
      <c r="AF204" s="938"/>
      <c r="AG204" s="938"/>
      <c r="AH204" s="938"/>
      <c r="AI204" s="938"/>
      <c r="AJ204" s="938"/>
      <c r="AK204" s="938"/>
      <c r="AL204" s="938"/>
      <c r="AM204" s="938"/>
      <c r="AN204" s="938"/>
      <c r="AO204" s="938"/>
      <c r="AP204" s="938"/>
      <c r="AQ204" s="938"/>
      <c r="AR204" s="938"/>
      <c r="AS204" s="938"/>
      <c r="AT204" s="938"/>
      <c r="AU204" s="938"/>
      <c r="AV204" s="938"/>
      <c r="AW204" s="938"/>
      <c r="AX204" s="938"/>
      <c r="AY204" s="938"/>
      <c r="AZ204" s="938"/>
      <c r="BA204" s="938"/>
      <c r="BB204" s="938"/>
      <c r="BC204" s="938"/>
      <c r="BD204" s="938"/>
      <c r="BE204" s="938"/>
      <c r="BF204" s="938"/>
      <c r="BG204" s="938"/>
      <c r="BH204" s="938"/>
      <c r="BI204" s="938"/>
      <c r="BJ204" s="938"/>
      <c r="BK204" s="938"/>
      <c r="BL204" s="938"/>
      <c r="BM204" s="938"/>
      <c r="BN204" s="938"/>
      <c r="BO204" s="938"/>
      <c r="BP204" s="938"/>
      <c r="BQ204" s="938"/>
      <c r="BR204" s="938"/>
      <c r="BS204" s="938"/>
      <c r="BT204" s="938"/>
      <c r="BU204" s="938"/>
      <c r="BV204" s="938"/>
      <c r="BW204" s="938"/>
      <c r="BX204" s="938"/>
      <c r="BY204" s="938"/>
      <c r="BZ204" s="938"/>
      <c r="CA204" s="938"/>
      <c r="CB204" s="938"/>
      <c r="CC204" s="938"/>
      <c r="CD204" s="938"/>
      <c r="CE204" s="938"/>
      <c r="CF204" s="938"/>
      <c r="CG204" s="938"/>
      <c r="CH204" s="938"/>
      <c r="CI204" s="938"/>
      <c r="CJ204" s="938"/>
      <c r="CK204" s="938"/>
      <c r="CL204" s="938"/>
      <c r="CM204" s="938"/>
      <c r="CN204" s="938"/>
      <c r="CO204" s="938"/>
      <c r="CP204" s="938"/>
      <c r="CQ204" s="938"/>
      <c r="CR204" s="938"/>
      <c r="CS204" s="938"/>
      <c r="CT204" s="938"/>
      <c r="CU204" s="938"/>
      <c r="CV204" s="938"/>
      <c r="CW204" s="938"/>
      <c r="CX204" s="938"/>
      <c r="CY204" s="938"/>
      <c r="CZ204" s="938"/>
      <c r="DA204" s="938"/>
      <c r="DB204" s="938"/>
      <c r="DC204" s="938"/>
      <c r="DD204" s="938"/>
      <c r="DE204" s="938"/>
      <c r="DF204" s="938"/>
      <c r="DG204" s="938"/>
      <c r="DH204" s="938"/>
      <c r="DI204" s="938"/>
      <c r="DJ204" s="938"/>
      <c r="DK204" s="938"/>
      <c r="DL204" s="938"/>
      <c r="DM204" s="938"/>
      <c r="DN204" s="938"/>
      <c r="DO204" s="938"/>
      <c r="DP204" s="938"/>
      <c r="DQ204" s="938"/>
      <c r="DR204" s="938"/>
      <c r="DS204" s="938"/>
      <c r="DT204" s="938"/>
      <c r="DU204" s="938"/>
      <c r="DV204" s="938"/>
      <c r="DW204" s="938"/>
      <c r="DX204" s="938"/>
      <c r="DY204" s="938"/>
      <c r="DZ204" s="938"/>
      <c r="EA204" s="938"/>
      <c r="EB204" s="938"/>
      <c r="EC204" s="938"/>
      <c r="ED204" s="938"/>
      <c r="EE204" s="938"/>
      <c r="EF204" s="938"/>
      <c r="EG204" s="938"/>
      <c r="EH204" s="938"/>
      <c r="EI204" s="938"/>
      <c r="EJ204" s="938"/>
      <c r="EK204" s="938"/>
      <c r="EL204" s="938"/>
      <c r="EM204" s="938"/>
      <c r="EN204" s="938"/>
      <c r="EO204" s="938"/>
      <c r="EP204" s="938"/>
      <c r="EQ204" s="938"/>
      <c r="ER204" s="938"/>
      <c r="ES204" s="938"/>
      <c r="ET204" s="938"/>
      <c r="EU204" s="938"/>
      <c r="EV204" s="938"/>
      <c r="EW204" s="938"/>
      <c r="EX204" s="938"/>
      <c r="EY204" s="938"/>
      <c r="EZ204" s="938"/>
      <c r="FA204" s="938"/>
      <c r="FB204" s="938"/>
      <c r="FC204" s="938"/>
      <c r="FD204" s="938"/>
      <c r="FE204" s="938"/>
      <c r="FF204" s="938"/>
      <c r="FG204" s="938"/>
      <c r="FH204" s="938"/>
      <c r="FI204" s="938"/>
      <c r="FJ204" s="938"/>
      <c r="FK204" s="938"/>
      <c r="FL204" s="938"/>
      <c r="FM204" s="938"/>
      <c r="FN204" s="938"/>
      <c r="FO204" s="938"/>
      <c r="FP204" s="938"/>
      <c r="FQ204" s="938"/>
      <c r="FR204" s="938"/>
      <c r="FS204" s="938"/>
      <c r="FT204" s="938"/>
      <c r="FU204" s="938"/>
      <c r="FV204" s="938"/>
      <c r="FW204" s="938"/>
      <c r="FX204" s="938"/>
      <c r="FY204" s="938"/>
      <c r="FZ204" s="938"/>
      <c r="GA204" s="938"/>
      <c r="GB204" s="938"/>
      <c r="GC204" s="938"/>
      <c r="GD204" s="938"/>
      <c r="GE204" s="938"/>
      <c r="GF204" s="938"/>
      <c r="GG204" s="938"/>
      <c r="GH204" s="938"/>
      <c r="GI204" s="938"/>
      <c r="GJ204" s="938"/>
      <c r="GK204" s="938"/>
      <c r="GL204" s="938"/>
      <c r="GM204" s="938"/>
      <c r="GN204" s="938"/>
      <c r="GO204" s="938"/>
      <c r="GP204" s="938"/>
      <c r="GQ204" s="938"/>
      <c r="GR204" s="938"/>
      <c r="GS204" s="938"/>
      <c r="GT204" s="938"/>
      <c r="GU204" s="938"/>
      <c r="GV204" s="938"/>
      <c r="GW204" s="938"/>
      <c r="GX204" s="938"/>
      <c r="GY204" s="938"/>
      <c r="GZ204" s="938"/>
      <c r="HA204" s="938"/>
      <c r="HB204" s="938"/>
      <c r="HC204" s="938"/>
      <c r="HD204" s="938"/>
      <c r="HE204" s="938"/>
      <c r="HF204" s="938"/>
      <c r="HG204" s="938"/>
      <c r="HH204" s="938"/>
      <c r="HI204" s="938"/>
      <c r="HJ204" s="938"/>
      <c r="HK204" s="938"/>
      <c r="HL204" s="938"/>
      <c r="HM204" s="938"/>
      <c r="HN204" s="938"/>
      <c r="HO204" s="938"/>
      <c r="HP204" s="938"/>
      <c r="HQ204" s="938"/>
      <c r="HR204" s="938"/>
    </row>
    <row r="205" spans="1:226" s="939" customFormat="1" ht="15" customHeight="1">
      <c r="A205" s="1519"/>
      <c r="B205" s="1500"/>
      <c r="C205" s="1501"/>
      <c r="D205" s="1502"/>
      <c r="E205" s="963" t="s">
        <v>314</v>
      </c>
      <c r="F205" s="964">
        <f t="shared" si="8"/>
        <v>225</v>
      </c>
      <c r="G205" s="964"/>
      <c r="H205" s="964"/>
      <c r="I205" s="964">
        <v>225</v>
      </c>
      <c r="J205" s="965"/>
      <c r="K205" s="938"/>
    </row>
    <row r="206" spans="1:226" s="939" customFormat="1" ht="20.100000000000001" customHeight="1">
      <c r="A206" s="1519"/>
      <c r="B206" s="1500"/>
      <c r="C206" s="1501"/>
      <c r="D206" s="1502"/>
      <c r="E206" s="966" t="s">
        <v>939</v>
      </c>
      <c r="F206" s="958">
        <f>SUM(F207:F208)</f>
        <v>82000</v>
      </c>
      <c r="G206" s="958">
        <f>SUM(G207:G208)</f>
        <v>0</v>
      </c>
      <c r="H206" s="958">
        <f>SUM(H207:H208)</f>
        <v>69700</v>
      </c>
      <c r="I206" s="958">
        <f>SUM(I207:I208)</f>
        <v>12300</v>
      </c>
      <c r="J206" s="959">
        <f>SUM(J207:J208)</f>
        <v>0</v>
      </c>
      <c r="K206" s="938"/>
    </row>
    <row r="207" spans="1:226" s="939" customFormat="1" ht="15" customHeight="1">
      <c r="A207" s="1519"/>
      <c r="B207" s="1500"/>
      <c r="C207" s="1501"/>
      <c r="D207" s="1502"/>
      <c r="E207" s="963" t="s">
        <v>372</v>
      </c>
      <c r="F207" s="964">
        <f>SUM(G207:J207)</f>
        <v>69700</v>
      </c>
      <c r="G207" s="964"/>
      <c r="H207" s="964">
        <v>69700</v>
      </c>
      <c r="I207" s="964"/>
      <c r="J207" s="965"/>
      <c r="K207" s="938"/>
    </row>
    <row r="208" spans="1:226" s="939" customFormat="1" ht="15" customHeight="1">
      <c r="A208" s="1519"/>
      <c r="B208" s="1500"/>
      <c r="C208" s="1501"/>
      <c r="D208" s="1502"/>
      <c r="E208" s="975">
        <v>6069</v>
      </c>
      <c r="F208" s="964">
        <f>SUM(G208:J208)</f>
        <v>12300</v>
      </c>
      <c r="G208" s="964"/>
      <c r="H208" s="964"/>
      <c r="I208" s="964">
        <v>12300</v>
      </c>
      <c r="J208" s="965"/>
      <c r="K208" s="938"/>
    </row>
    <row r="209" spans="1:11" s="939" customFormat="1" ht="24.95" customHeight="1">
      <c r="A209" s="1519" t="s">
        <v>969</v>
      </c>
      <c r="B209" s="1500" t="s">
        <v>970</v>
      </c>
      <c r="C209" s="1501">
        <v>720</v>
      </c>
      <c r="D209" s="1502" t="s">
        <v>418</v>
      </c>
      <c r="E209" s="954" t="s">
        <v>937</v>
      </c>
      <c r="F209" s="955">
        <f>SUM(F210,F217)</f>
        <v>309843749</v>
      </c>
      <c r="G209" s="955">
        <f>SUM(G210,G217)</f>
        <v>70198521</v>
      </c>
      <c r="H209" s="955">
        <f>SUM(H210,H217)</f>
        <v>213429378</v>
      </c>
      <c r="I209" s="955">
        <f>SUM(I210,I217)</f>
        <v>26215850</v>
      </c>
      <c r="J209" s="956">
        <f>SUM(J210,J217)</f>
        <v>0</v>
      </c>
      <c r="K209" s="938"/>
    </row>
    <row r="210" spans="1:11" s="939" customFormat="1" ht="24.95" customHeight="1">
      <c r="A210" s="1519"/>
      <c r="B210" s="1500"/>
      <c r="C210" s="1501"/>
      <c r="D210" s="1502"/>
      <c r="E210" s="957" t="s">
        <v>440</v>
      </c>
      <c r="F210" s="958">
        <f>SUM(F211,F214)</f>
        <v>0</v>
      </c>
      <c r="G210" s="958">
        <f>SUM(G211,G214)</f>
        <v>0</v>
      </c>
      <c r="H210" s="958">
        <f>SUM(H211,H214)</f>
        <v>0</v>
      </c>
      <c r="I210" s="958">
        <f>SUM(I211,I214)</f>
        <v>0</v>
      </c>
      <c r="J210" s="959">
        <f>SUM(J211,J214)</f>
        <v>0</v>
      </c>
      <c r="K210" s="938"/>
    </row>
    <row r="211" spans="1:11" s="939" customFormat="1" ht="24.95" hidden="1" customHeight="1">
      <c r="A211" s="1519"/>
      <c r="B211" s="1500"/>
      <c r="C211" s="1501"/>
      <c r="D211" s="1502"/>
      <c r="E211" s="960" t="s">
        <v>944</v>
      </c>
      <c r="F211" s="961">
        <f>SUM(F212:F213)</f>
        <v>0</v>
      </c>
      <c r="G211" s="961">
        <f>SUM(G212:G213)</f>
        <v>0</v>
      </c>
      <c r="H211" s="961">
        <f>SUM(H212:H213)</f>
        <v>0</v>
      </c>
      <c r="I211" s="961">
        <f>SUM(I212:I213)</f>
        <v>0</v>
      </c>
      <c r="J211" s="962">
        <f>SUM(J212:J213)</f>
        <v>0</v>
      </c>
      <c r="K211" s="938"/>
    </row>
    <row r="212" spans="1:11" s="939" customFormat="1" ht="24.95" hidden="1" customHeight="1">
      <c r="A212" s="1519"/>
      <c r="B212" s="1500"/>
      <c r="C212" s="1501"/>
      <c r="D212" s="1502"/>
      <c r="E212" s="963"/>
      <c r="F212" s="964">
        <f>SUM(G212:J212)</f>
        <v>0</v>
      </c>
      <c r="G212" s="964"/>
      <c r="H212" s="964"/>
      <c r="I212" s="964"/>
      <c r="J212" s="965"/>
      <c r="K212" s="938"/>
    </row>
    <row r="213" spans="1:11" s="939" customFormat="1" ht="24.95" hidden="1" customHeight="1">
      <c r="A213" s="1519"/>
      <c r="B213" s="1500"/>
      <c r="C213" s="1501"/>
      <c r="D213" s="1502"/>
      <c r="E213" s="963"/>
      <c r="F213" s="964">
        <f>SUM(G213:J213)</f>
        <v>0</v>
      </c>
      <c r="G213" s="964"/>
      <c r="H213" s="964"/>
      <c r="I213" s="964"/>
      <c r="J213" s="965"/>
      <c r="K213" s="938"/>
    </row>
    <row r="214" spans="1:11" s="939" customFormat="1" ht="24.95" hidden="1" customHeight="1">
      <c r="A214" s="1519"/>
      <c r="B214" s="1500"/>
      <c r="C214" s="1501"/>
      <c r="D214" s="1502"/>
      <c r="E214" s="960" t="s">
        <v>945</v>
      </c>
      <c r="F214" s="961">
        <f>SUM(F215:F216)</f>
        <v>0</v>
      </c>
      <c r="G214" s="961">
        <f>SUM(G215:G216)</f>
        <v>0</v>
      </c>
      <c r="H214" s="961">
        <f>SUM(H215:H216)</f>
        <v>0</v>
      </c>
      <c r="I214" s="961">
        <f>SUM(I215:I216)</f>
        <v>0</v>
      </c>
      <c r="J214" s="962">
        <f>SUM(J215:J216)</f>
        <v>0</v>
      </c>
      <c r="K214" s="938"/>
    </row>
    <row r="215" spans="1:11" s="939" customFormat="1" ht="24.95" hidden="1" customHeight="1">
      <c r="A215" s="1519"/>
      <c r="B215" s="1500"/>
      <c r="C215" s="1501"/>
      <c r="D215" s="1502"/>
      <c r="E215" s="963"/>
      <c r="F215" s="964">
        <f>SUM(G215:J215)</f>
        <v>0</v>
      </c>
      <c r="G215" s="964"/>
      <c r="H215" s="964"/>
      <c r="I215" s="964"/>
      <c r="J215" s="965"/>
      <c r="K215" s="938"/>
    </row>
    <row r="216" spans="1:11" s="939" customFormat="1" ht="24.95" hidden="1" customHeight="1">
      <c r="A216" s="1519"/>
      <c r="B216" s="1500"/>
      <c r="C216" s="1501"/>
      <c r="D216" s="1502"/>
      <c r="E216" s="963"/>
      <c r="F216" s="964">
        <f>SUM(G216:J216)</f>
        <v>0</v>
      </c>
      <c r="G216" s="964"/>
      <c r="H216" s="964"/>
      <c r="I216" s="964"/>
      <c r="J216" s="965"/>
      <c r="K216" s="938"/>
    </row>
    <row r="217" spans="1:11" s="939" customFormat="1" ht="24.95" customHeight="1">
      <c r="A217" s="1519"/>
      <c r="B217" s="1500"/>
      <c r="C217" s="1501"/>
      <c r="D217" s="1502"/>
      <c r="E217" s="966" t="s">
        <v>939</v>
      </c>
      <c r="F217" s="958">
        <f>SUM(F218:F220)</f>
        <v>309843749</v>
      </c>
      <c r="G217" s="958">
        <f>SUM(G218:G220)</f>
        <v>70198521</v>
      </c>
      <c r="H217" s="958">
        <f>SUM(H218:H220)</f>
        <v>213429378</v>
      </c>
      <c r="I217" s="958">
        <f>SUM(I218:I220)</f>
        <v>26215850</v>
      </c>
      <c r="J217" s="959">
        <f>SUM(J218:J220)</f>
        <v>0</v>
      </c>
      <c r="K217" s="938"/>
    </row>
    <row r="218" spans="1:11" s="939" customFormat="1" ht="15" customHeight="1">
      <c r="A218" s="1519"/>
      <c r="B218" s="1500"/>
      <c r="C218" s="1501"/>
      <c r="D218" s="1502"/>
      <c r="E218" s="963" t="s">
        <v>268</v>
      </c>
      <c r="F218" s="964">
        <f>SUM(G218:J218)</f>
        <v>57585595</v>
      </c>
      <c r="G218" s="964">
        <v>57585595</v>
      </c>
      <c r="H218" s="964"/>
      <c r="I218" s="964"/>
      <c r="J218" s="965"/>
      <c r="K218" s="938"/>
    </row>
    <row r="219" spans="1:11" s="939" customFormat="1" ht="15" customHeight="1">
      <c r="A219" s="1519"/>
      <c r="B219" s="1500"/>
      <c r="C219" s="1501"/>
      <c r="D219" s="1502"/>
      <c r="E219" s="963" t="s">
        <v>282</v>
      </c>
      <c r="F219" s="964">
        <f>SUM(G219:J219)</f>
        <v>213429378</v>
      </c>
      <c r="G219" s="964"/>
      <c r="H219" s="964">
        <v>213429378</v>
      </c>
      <c r="I219" s="964"/>
      <c r="J219" s="965"/>
      <c r="K219" s="938"/>
    </row>
    <row r="220" spans="1:11" s="939" customFormat="1" ht="15" customHeight="1">
      <c r="A220" s="1519"/>
      <c r="B220" s="1500"/>
      <c r="C220" s="1501"/>
      <c r="D220" s="1502"/>
      <c r="E220" s="975">
        <v>6059</v>
      </c>
      <c r="F220" s="964">
        <f>SUM(G220:J220)</f>
        <v>38828776</v>
      </c>
      <c r="G220" s="964">
        <v>12612926</v>
      </c>
      <c r="H220" s="964"/>
      <c r="I220" s="964">
        <v>26215850</v>
      </c>
      <c r="J220" s="965"/>
      <c r="K220" s="938"/>
    </row>
    <row r="221" spans="1:11" s="939" customFormat="1" ht="24.95" customHeight="1">
      <c r="A221" s="1519" t="s">
        <v>971</v>
      </c>
      <c r="B221" s="1500" t="s">
        <v>972</v>
      </c>
      <c r="C221" s="1501">
        <v>750</v>
      </c>
      <c r="D221" s="1502" t="s">
        <v>466</v>
      </c>
      <c r="E221" s="954" t="s">
        <v>937</v>
      </c>
      <c r="F221" s="955">
        <f>SUM(F222,F229)</f>
        <v>67267285</v>
      </c>
      <c r="G221" s="955">
        <f>SUM(G222,G229)</f>
        <v>60854952</v>
      </c>
      <c r="H221" s="955">
        <f>SUM(H222,H229)</f>
        <v>5450483</v>
      </c>
      <c r="I221" s="955">
        <f>SUM(I222,I229)</f>
        <v>961850</v>
      </c>
      <c r="J221" s="956">
        <f>SUM(J222,J229)</f>
        <v>0</v>
      </c>
      <c r="K221" s="938"/>
    </row>
    <row r="222" spans="1:11" s="939" customFormat="1" ht="24.95" customHeight="1">
      <c r="A222" s="1519"/>
      <c r="B222" s="1500"/>
      <c r="C222" s="1501"/>
      <c r="D222" s="1502"/>
      <c r="E222" s="957" t="s">
        <v>440</v>
      </c>
      <c r="F222" s="958">
        <f>SUM(F223,F226)</f>
        <v>0</v>
      </c>
      <c r="G222" s="958">
        <f>SUM(G223,G226)</f>
        <v>0</v>
      </c>
      <c r="H222" s="958">
        <f>SUM(H223,H226)</f>
        <v>0</v>
      </c>
      <c r="I222" s="958">
        <f>SUM(I223,I226)</f>
        <v>0</v>
      </c>
      <c r="J222" s="959">
        <f>SUM(J223,J226)</f>
        <v>0</v>
      </c>
      <c r="K222" s="938"/>
    </row>
    <row r="223" spans="1:11" s="939" customFormat="1" ht="24.95" hidden="1" customHeight="1">
      <c r="A223" s="1519"/>
      <c r="B223" s="1500"/>
      <c r="C223" s="1501"/>
      <c r="D223" s="1502"/>
      <c r="E223" s="960" t="s">
        <v>944</v>
      </c>
      <c r="F223" s="961">
        <f>SUM(F224:F225)</f>
        <v>0</v>
      </c>
      <c r="G223" s="961">
        <f>SUM(G224:G225)</f>
        <v>0</v>
      </c>
      <c r="H223" s="961">
        <f>SUM(H224:H225)</f>
        <v>0</v>
      </c>
      <c r="I223" s="961">
        <f>SUM(I224:I225)</f>
        <v>0</v>
      </c>
      <c r="J223" s="962">
        <f>SUM(J224:J225)</f>
        <v>0</v>
      </c>
      <c r="K223" s="938"/>
    </row>
    <row r="224" spans="1:11" s="939" customFormat="1" ht="24.95" hidden="1" customHeight="1">
      <c r="A224" s="1519"/>
      <c r="B224" s="1500"/>
      <c r="C224" s="1501"/>
      <c r="D224" s="1502"/>
      <c r="E224" s="963"/>
      <c r="F224" s="964">
        <f>SUM(G224:J224)</f>
        <v>0</v>
      </c>
      <c r="G224" s="964"/>
      <c r="H224" s="964"/>
      <c r="I224" s="964"/>
      <c r="J224" s="965"/>
      <c r="K224" s="938"/>
    </row>
    <row r="225" spans="1:11" s="939" customFormat="1" ht="24.95" hidden="1" customHeight="1">
      <c r="A225" s="1519"/>
      <c r="B225" s="1500"/>
      <c r="C225" s="1501"/>
      <c r="D225" s="1502"/>
      <c r="E225" s="963"/>
      <c r="F225" s="964">
        <f>SUM(G225:J225)</f>
        <v>0</v>
      </c>
      <c r="G225" s="964"/>
      <c r="H225" s="964"/>
      <c r="I225" s="964"/>
      <c r="J225" s="965"/>
      <c r="K225" s="938"/>
    </row>
    <row r="226" spans="1:11" s="939" customFormat="1" ht="24.95" hidden="1" customHeight="1">
      <c r="A226" s="1519"/>
      <c r="B226" s="1500"/>
      <c r="C226" s="1501"/>
      <c r="D226" s="1502"/>
      <c r="E226" s="960" t="s">
        <v>945</v>
      </c>
      <c r="F226" s="961">
        <f>SUM(F227:F228)</f>
        <v>0</v>
      </c>
      <c r="G226" s="961">
        <f>SUM(G227:G228)</f>
        <v>0</v>
      </c>
      <c r="H226" s="961">
        <f>SUM(H227:H228)</f>
        <v>0</v>
      </c>
      <c r="I226" s="961">
        <f>SUM(I227:I228)</f>
        <v>0</v>
      </c>
      <c r="J226" s="962">
        <f>SUM(J227:J228)</f>
        <v>0</v>
      </c>
      <c r="K226" s="938"/>
    </row>
    <row r="227" spans="1:11" s="939" customFormat="1" ht="24.95" hidden="1" customHeight="1">
      <c r="A227" s="1519"/>
      <c r="B227" s="1500"/>
      <c r="C227" s="1501"/>
      <c r="D227" s="1502"/>
      <c r="E227" s="963"/>
      <c r="F227" s="964">
        <f>SUM(G227:J227)</f>
        <v>0</v>
      </c>
      <c r="G227" s="964"/>
      <c r="H227" s="964"/>
      <c r="I227" s="964"/>
      <c r="J227" s="965"/>
      <c r="K227" s="938"/>
    </row>
    <row r="228" spans="1:11" s="939" customFormat="1" ht="24.95" hidden="1" customHeight="1">
      <c r="A228" s="1519"/>
      <c r="B228" s="1500"/>
      <c r="C228" s="1501"/>
      <c r="D228" s="1502"/>
      <c r="E228" s="963"/>
      <c r="F228" s="964">
        <f>SUM(G228:J228)</f>
        <v>0</v>
      </c>
      <c r="G228" s="964"/>
      <c r="H228" s="964"/>
      <c r="I228" s="964"/>
      <c r="J228" s="965"/>
      <c r="K228" s="938"/>
    </row>
    <row r="229" spans="1:11" s="939" customFormat="1" ht="24.95" customHeight="1">
      <c r="A229" s="1519"/>
      <c r="B229" s="1500"/>
      <c r="C229" s="1501"/>
      <c r="D229" s="1502"/>
      <c r="E229" s="966" t="s">
        <v>939</v>
      </c>
      <c r="F229" s="958">
        <f>SUM(F230:F233)</f>
        <v>67267285</v>
      </c>
      <c r="G229" s="958">
        <f>SUM(G230:G233)</f>
        <v>60854952</v>
      </c>
      <c r="H229" s="958">
        <f>SUM(H230:H233)</f>
        <v>5450483</v>
      </c>
      <c r="I229" s="958">
        <f>SUM(I230:I233)</f>
        <v>961850</v>
      </c>
      <c r="J229" s="959">
        <f>SUM(J230:J233)</f>
        <v>0</v>
      </c>
      <c r="K229" s="938"/>
    </row>
    <row r="230" spans="1:11" s="939" customFormat="1" ht="15" customHeight="1">
      <c r="A230" s="1519"/>
      <c r="B230" s="1500"/>
      <c r="C230" s="1501"/>
      <c r="D230" s="1502"/>
      <c r="E230" s="963" t="s">
        <v>282</v>
      </c>
      <c r="F230" s="964">
        <f>SUM(G230:J230)</f>
        <v>5450483</v>
      </c>
      <c r="G230" s="964"/>
      <c r="H230" s="964">
        <v>5450483</v>
      </c>
      <c r="I230" s="964"/>
      <c r="J230" s="965"/>
      <c r="K230" s="938"/>
    </row>
    <row r="231" spans="1:11" s="939" customFormat="1" ht="15" customHeight="1">
      <c r="A231" s="1519"/>
      <c r="B231" s="1500"/>
      <c r="C231" s="1501"/>
      <c r="D231" s="1502"/>
      <c r="E231" s="963" t="s">
        <v>283</v>
      </c>
      <c r="F231" s="964">
        <f>SUM(G231:J231)</f>
        <v>59968317</v>
      </c>
      <c r="G231" s="964">
        <v>59006467</v>
      </c>
      <c r="H231" s="964"/>
      <c r="I231" s="964">
        <v>961850</v>
      </c>
      <c r="J231" s="965"/>
      <c r="K231" s="938"/>
    </row>
    <row r="232" spans="1:11" s="939" customFormat="1" ht="15" hidden="1" customHeight="1">
      <c r="A232" s="1519"/>
      <c r="B232" s="1500"/>
      <c r="C232" s="1501"/>
      <c r="D232" s="1502"/>
      <c r="E232" s="963" t="s">
        <v>394</v>
      </c>
      <c r="F232" s="964">
        <f>SUM(G232:J232)</f>
        <v>0</v>
      </c>
      <c r="G232" s="964"/>
      <c r="H232" s="964"/>
      <c r="I232" s="964"/>
      <c r="J232" s="965"/>
      <c r="K232" s="938"/>
    </row>
    <row r="233" spans="1:11" s="939" customFormat="1" ht="15" customHeight="1">
      <c r="A233" s="1519"/>
      <c r="B233" s="1500"/>
      <c r="C233" s="1501"/>
      <c r="D233" s="1502"/>
      <c r="E233" s="975">
        <v>6209</v>
      </c>
      <c r="F233" s="964">
        <f>SUM(G233:J233)</f>
        <v>1848485</v>
      </c>
      <c r="G233" s="964">
        <v>1848485</v>
      </c>
      <c r="H233" s="964"/>
      <c r="I233" s="964"/>
      <c r="J233" s="965"/>
      <c r="K233" s="938"/>
    </row>
    <row r="234" spans="1:11" s="939" customFormat="1" ht="24.95" customHeight="1">
      <c r="A234" s="1519" t="s">
        <v>973</v>
      </c>
      <c r="B234" s="1500" t="s">
        <v>974</v>
      </c>
      <c r="C234" s="1501">
        <v>600</v>
      </c>
      <c r="D234" s="1502" t="s">
        <v>6</v>
      </c>
      <c r="E234" s="954" t="s">
        <v>937</v>
      </c>
      <c r="F234" s="955">
        <f>SUM(F235,F242)</f>
        <v>14758850</v>
      </c>
      <c r="G234" s="955">
        <f>SUM(G235,G242)</f>
        <v>3371480</v>
      </c>
      <c r="H234" s="955">
        <f>SUM(H235,H242)</f>
        <v>8396500</v>
      </c>
      <c r="I234" s="955">
        <f>SUM(I235,I242)</f>
        <v>0</v>
      </c>
      <c r="J234" s="956">
        <f>SUM(J235,J242)</f>
        <v>2990870</v>
      </c>
      <c r="K234" s="938"/>
    </row>
    <row r="235" spans="1:11" s="939" customFormat="1" ht="24.95" customHeight="1">
      <c r="A235" s="1519"/>
      <c r="B235" s="1500"/>
      <c r="C235" s="1501"/>
      <c r="D235" s="1502"/>
      <c r="E235" s="957" t="s">
        <v>440</v>
      </c>
      <c r="F235" s="958">
        <f>SUM(F236,F239)</f>
        <v>5000</v>
      </c>
      <c r="G235" s="958">
        <f>SUM(G236,G239)</f>
        <v>5000</v>
      </c>
      <c r="H235" s="958">
        <f>SUM(H236,H239)</f>
        <v>0</v>
      </c>
      <c r="I235" s="958">
        <f>SUM(I236,I239)</f>
        <v>0</v>
      </c>
      <c r="J235" s="959">
        <f>SUM(J236,J239)</f>
        <v>0</v>
      </c>
      <c r="K235" s="938"/>
    </row>
    <row r="236" spans="1:11" s="939" customFormat="1" ht="24.95" hidden="1" customHeight="1">
      <c r="A236" s="1519"/>
      <c r="B236" s="1500"/>
      <c r="C236" s="1501"/>
      <c r="D236" s="1502"/>
      <c r="E236" s="960" t="s">
        <v>944</v>
      </c>
      <c r="F236" s="961">
        <f>SUM(F237:F238)</f>
        <v>0</v>
      </c>
      <c r="G236" s="961">
        <f>SUM(G237:G238)</f>
        <v>0</v>
      </c>
      <c r="H236" s="961">
        <f>SUM(H237:H238)</f>
        <v>0</v>
      </c>
      <c r="I236" s="961">
        <f>SUM(I237:I238)</f>
        <v>0</v>
      </c>
      <c r="J236" s="962">
        <f>SUM(J237:J238)</f>
        <v>0</v>
      </c>
      <c r="K236" s="938"/>
    </row>
    <row r="237" spans="1:11" s="939" customFormat="1" ht="24.95" hidden="1" customHeight="1">
      <c r="A237" s="1519"/>
      <c r="B237" s="1500"/>
      <c r="C237" s="1501"/>
      <c r="D237" s="1502"/>
      <c r="E237" s="963"/>
      <c r="F237" s="964">
        <f>SUM(G237:J237)</f>
        <v>0</v>
      </c>
      <c r="G237" s="964"/>
      <c r="H237" s="964"/>
      <c r="I237" s="964"/>
      <c r="J237" s="965"/>
      <c r="K237" s="938"/>
    </row>
    <row r="238" spans="1:11" s="939" customFormat="1" ht="24.95" hidden="1" customHeight="1">
      <c r="A238" s="1519"/>
      <c r="B238" s="1500"/>
      <c r="C238" s="1501"/>
      <c r="D238" s="1502"/>
      <c r="E238" s="963"/>
      <c r="F238" s="964">
        <f>SUM(G238:J238)</f>
        <v>0</v>
      </c>
      <c r="G238" s="964"/>
      <c r="H238" s="964"/>
      <c r="I238" s="964"/>
      <c r="J238" s="965"/>
      <c r="K238" s="938"/>
    </row>
    <row r="239" spans="1:11" s="939" customFormat="1" ht="24.95" customHeight="1">
      <c r="A239" s="1519"/>
      <c r="B239" s="1500"/>
      <c r="C239" s="1501"/>
      <c r="D239" s="1502"/>
      <c r="E239" s="960" t="s">
        <v>945</v>
      </c>
      <c r="F239" s="961">
        <f>SUM(F240:F241)</f>
        <v>5000</v>
      </c>
      <c r="G239" s="961">
        <f>SUM(G240:G241)</f>
        <v>5000</v>
      </c>
      <c r="H239" s="961">
        <f>SUM(H240:H241)</f>
        <v>0</v>
      </c>
      <c r="I239" s="961">
        <f>SUM(I240:I241)</f>
        <v>0</v>
      </c>
      <c r="J239" s="962">
        <f>SUM(J240:J241)</f>
        <v>0</v>
      </c>
      <c r="K239" s="938"/>
    </row>
    <row r="240" spans="1:11" s="939" customFormat="1" ht="15" hidden="1" customHeight="1">
      <c r="A240" s="1519"/>
      <c r="B240" s="1500"/>
      <c r="C240" s="1501"/>
      <c r="D240" s="1502"/>
      <c r="E240" s="963" t="s">
        <v>367</v>
      </c>
      <c r="F240" s="964">
        <f>SUM(G240:J240)</f>
        <v>0</v>
      </c>
      <c r="G240" s="964"/>
      <c r="H240" s="964"/>
      <c r="I240" s="964"/>
      <c r="J240" s="965"/>
      <c r="K240" s="938"/>
    </row>
    <row r="241" spans="1:226" s="939" customFormat="1" ht="15" customHeight="1">
      <c r="A241" s="1519"/>
      <c r="B241" s="1500"/>
      <c r="C241" s="1501"/>
      <c r="D241" s="1502"/>
      <c r="E241" s="963" t="s">
        <v>368</v>
      </c>
      <c r="F241" s="964">
        <f>SUM(G241:J241)</f>
        <v>5000</v>
      </c>
      <c r="G241" s="964">
        <v>5000</v>
      </c>
      <c r="H241" s="964"/>
      <c r="I241" s="964"/>
      <c r="J241" s="965"/>
      <c r="K241" s="938"/>
    </row>
    <row r="242" spans="1:226" s="939" customFormat="1" ht="24.95" customHeight="1">
      <c r="A242" s="1519"/>
      <c r="B242" s="1500"/>
      <c r="C242" s="1501"/>
      <c r="D242" s="1502"/>
      <c r="E242" s="966" t="s">
        <v>939</v>
      </c>
      <c r="F242" s="958">
        <f>SUM(F243:F245)</f>
        <v>14753850</v>
      </c>
      <c r="G242" s="958">
        <f>SUM(G243:G245)</f>
        <v>3366480</v>
      </c>
      <c r="H242" s="958">
        <f>SUM(H243:H245)</f>
        <v>8396500</v>
      </c>
      <c r="I242" s="958">
        <f>SUM(I243:I245)</f>
        <v>0</v>
      </c>
      <c r="J242" s="959">
        <f>SUM(J243:J245)</f>
        <v>2990870</v>
      </c>
      <c r="K242" s="938"/>
    </row>
    <row r="243" spans="1:226" s="939" customFormat="1" ht="15" customHeight="1">
      <c r="A243" s="1519"/>
      <c r="B243" s="1500"/>
      <c r="C243" s="1501"/>
      <c r="D243" s="1502"/>
      <c r="E243" s="963" t="s">
        <v>270</v>
      </c>
      <c r="F243" s="964">
        <f>SUM(G243:J243)</f>
        <v>3366480</v>
      </c>
      <c r="G243" s="964">
        <v>3366480</v>
      </c>
      <c r="H243" s="964"/>
      <c r="I243" s="964"/>
      <c r="J243" s="965"/>
      <c r="K243" s="938"/>
    </row>
    <row r="244" spans="1:226" s="939" customFormat="1" ht="15" customHeight="1">
      <c r="A244" s="1519"/>
      <c r="B244" s="1500"/>
      <c r="C244" s="1501"/>
      <c r="D244" s="1502"/>
      <c r="E244" s="963" t="s">
        <v>372</v>
      </c>
      <c r="F244" s="964">
        <f>SUM(G244:J244)</f>
        <v>8396500</v>
      </c>
      <c r="G244" s="964"/>
      <c r="H244" s="964">
        <v>8396500</v>
      </c>
      <c r="I244" s="964"/>
      <c r="J244" s="965"/>
      <c r="K244" s="938"/>
    </row>
    <row r="245" spans="1:226" s="939" customFormat="1" ht="15" customHeight="1">
      <c r="A245" s="1519"/>
      <c r="B245" s="1500"/>
      <c r="C245" s="1501"/>
      <c r="D245" s="1502"/>
      <c r="E245" s="975">
        <v>6069</v>
      </c>
      <c r="F245" s="964">
        <f>SUM(G245:J245)</f>
        <v>2990870</v>
      </c>
      <c r="G245" s="964"/>
      <c r="H245" s="964"/>
      <c r="I245" s="964"/>
      <c r="J245" s="965">
        <v>2990870</v>
      </c>
      <c r="K245" s="938"/>
    </row>
    <row r="246" spans="1:226" s="939" customFormat="1" ht="24.95" customHeight="1">
      <c r="A246" s="1519" t="s">
        <v>975</v>
      </c>
      <c r="B246" s="1500" t="s">
        <v>976</v>
      </c>
      <c r="C246" s="1502" t="s">
        <v>5</v>
      </c>
      <c r="D246" s="1502" t="s">
        <v>289</v>
      </c>
      <c r="E246" s="954" t="s">
        <v>937</v>
      </c>
      <c r="F246" s="955">
        <f>SUM(F247,F286)</f>
        <v>5703930</v>
      </c>
      <c r="G246" s="955">
        <f>SUM(G247,G286)</f>
        <v>537930</v>
      </c>
      <c r="H246" s="955">
        <f>SUM(H247,H286)</f>
        <v>0</v>
      </c>
      <c r="I246" s="955">
        <f>SUM(I247,I286)</f>
        <v>5166000</v>
      </c>
      <c r="J246" s="956">
        <f>SUM(J247,J286)</f>
        <v>0</v>
      </c>
      <c r="K246" s="938"/>
      <c r="L246" s="938"/>
      <c r="M246" s="938"/>
      <c r="N246" s="938"/>
      <c r="O246" s="938"/>
      <c r="P246" s="938"/>
      <c r="Q246" s="938"/>
      <c r="R246" s="938"/>
      <c r="S246" s="938"/>
      <c r="T246" s="938"/>
      <c r="U246" s="938"/>
      <c r="V246" s="938"/>
      <c r="W246" s="938"/>
      <c r="X246" s="938"/>
      <c r="Y246" s="938"/>
      <c r="Z246" s="938"/>
      <c r="AA246" s="938"/>
      <c r="AB246" s="938"/>
      <c r="AC246" s="938"/>
      <c r="AD246" s="938"/>
      <c r="AE246" s="938"/>
      <c r="AF246" s="938"/>
      <c r="AG246" s="938"/>
      <c r="AH246" s="938"/>
      <c r="AI246" s="938"/>
      <c r="AJ246" s="938"/>
      <c r="AK246" s="938"/>
      <c r="AL246" s="938"/>
      <c r="AM246" s="938"/>
      <c r="AN246" s="938"/>
      <c r="AO246" s="938"/>
      <c r="AP246" s="938"/>
      <c r="AQ246" s="938"/>
      <c r="AR246" s="938"/>
      <c r="AS246" s="938"/>
      <c r="AT246" s="938"/>
      <c r="AU246" s="938"/>
      <c r="AV246" s="938"/>
      <c r="AW246" s="938"/>
      <c r="AX246" s="938"/>
      <c r="AY246" s="938"/>
      <c r="AZ246" s="938"/>
      <c r="BA246" s="938"/>
      <c r="BB246" s="938"/>
      <c r="BC246" s="938"/>
      <c r="BD246" s="938"/>
      <c r="BE246" s="938"/>
      <c r="BF246" s="938"/>
      <c r="BG246" s="938"/>
      <c r="BH246" s="938"/>
      <c r="BI246" s="938"/>
      <c r="BJ246" s="938"/>
      <c r="BK246" s="938"/>
      <c r="BL246" s="938"/>
      <c r="BM246" s="938"/>
      <c r="BN246" s="938"/>
      <c r="BO246" s="938"/>
      <c r="BP246" s="938"/>
      <c r="BQ246" s="938"/>
      <c r="BR246" s="938"/>
      <c r="BS246" s="938"/>
      <c r="BT246" s="938"/>
      <c r="BU246" s="938"/>
      <c r="BV246" s="938"/>
      <c r="BW246" s="938"/>
      <c r="BX246" s="938"/>
      <c r="BY246" s="938"/>
      <c r="BZ246" s="938"/>
      <c r="CA246" s="938"/>
      <c r="CB246" s="938"/>
      <c r="CC246" s="938"/>
      <c r="CD246" s="938"/>
      <c r="CE246" s="938"/>
      <c r="CF246" s="938"/>
      <c r="CG246" s="938"/>
      <c r="CH246" s="938"/>
      <c r="CI246" s="938"/>
      <c r="CJ246" s="938"/>
      <c r="CK246" s="938"/>
      <c r="CL246" s="938"/>
      <c r="CM246" s="938"/>
      <c r="CN246" s="938"/>
      <c r="CO246" s="938"/>
      <c r="CP246" s="938"/>
      <c r="CQ246" s="938"/>
      <c r="CR246" s="938"/>
      <c r="CS246" s="938"/>
      <c r="CT246" s="938"/>
      <c r="CU246" s="938"/>
      <c r="CV246" s="938"/>
      <c r="CW246" s="938"/>
      <c r="CX246" s="938"/>
      <c r="CY246" s="938"/>
      <c r="CZ246" s="938"/>
      <c r="DA246" s="938"/>
      <c r="DB246" s="938"/>
      <c r="DC246" s="938"/>
      <c r="DD246" s="938"/>
      <c r="DE246" s="938"/>
      <c r="DF246" s="938"/>
      <c r="DG246" s="938"/>
      <c r="DH246" s="938"/>
      <c r="DI246" s="938"/>
      <c r="DJ246" s="938"/>
      <c r="DK246" s="938"/>
      <c r="DL246" s="938"/>
      <c r="DM246" s="938"/>
      <c r="DN246" s="938"/>
      <c r="DO246" s="938"/>
      <c r="DP246" s="938"/>
      <c r="DQ246" s="938"/>
      <c r="DR246" s="938"/>
      <c r="DS246" s="938"/>
      <c r="DT246" s="938"/>
      <c r="DU246" s="938"/>
      <c r="DV246" s="938"/>
      <c r="DW246" s="938"/>
      <c r="DX246" s="938"/>
      <c r="DY246" s="938"/>
      <c r="DZ246" s="938"/>
      <c r="EA246" s="938"/>
      <c r="EB246" s="938"/>
      <c r="EC246" s="938"/>
      <c r="ED246" s="938"/>
      <c r="EE246" s="938"/>
      <c r="EF246" s="938"/>
      <c r="EG246" s="938"/>
      <c r="EH246" s="938"/>
      <c r="EI246" s="938"/>
      <c r="EJ246" s="938"/>
      <c r="EK246" s="938"/>
      <c r="EL246" s="938"/>
      <c r="EM246" s="938"/>
      <c r="EN246" s="938"/>
      <c r="EO246" s="938"/>
      <c r="EP246" s="938"/>
      <c r="EQ246" s="938"/>
      <c r="ER246" s="938"/>
      <c r="ES246" s="938"/>
      <c r="ET246" s="938"/>
      <c r="EU246" s="938"/>
      <c r="EV246" s="938"/>
      <c r="EW246" s="938"/>
      <c r="EX246" s="938"/>
      <c r="EY246" s="938"/>
      <c r="EZ246" s="938"/>
      <c r="FA246" s="938"/>
      <c r="FB246" s="938"/>
      <c r="FC246" s="938"/>
      <c r="FD246" s="938"/>
      <c r="FE246" s="938"/>
      <c r="FF246" s="938"/>
      <c r="FG246" s="938"/>
      <c r="FH246" s="938"/>
      <c r="FI246" s="938"/>
      <c r="FJ246" s="938"/>
      <c r="FK246" s="938"/>
      <c r="FL246" s="938"/>
      <c r="FM246" s="938"/>
      <c r="FN246" s="938"/>
      <c r="FO246" s="938"/>
      <c r="FP246" s="938"/>
      <c r="FQ246" s="938"/>
      <c r="FR246" s="938"/>
      <c r="FS246" s="938"/>
      <c r="FT246" s="938"/>
      <c r="FU246" s="938"/>
      <c r="FV246" s="938"/>
      <c r="FW246" s="938"/>
      <c r="FX246" s="938"/>
      <c r="FY246" s="938"/>
      <c r="FZ246" s="938"/>
      <c r="GA246" s="938"/>
      <c r="GB246" s="938"/>
      <c r="GC246" s="938"/>
      <c r="GD246" s="938"/>
      <c r="GE246" s="938"/>
      <c r="GF246" s="938"/>
      <c r="GG246" s="938"/>
      <c r="GH246" s="938"/>
      <c r="GI246" s="938"/>
      <c r="GJ246" s="938"/>
      <c r="GK246" s="938"/>
      <c r="GL246" s="938"/>
      <c r="GM246" s="938"/>
      <c r="GN246" s="938"/>
      <c r="GO246" s="938"/>
      <c r="GP246" s="938"/>
      <c r="GQ246" s="938"/>
      <c r="GR246" s="938"/>
      <c r="GS246" s="938"/>
      <c r="GT246" s="938"/>
      <c r="GU246" s="938"/>
      <c r="GV246" s="938"/>
      <c r="GW246" s="938"/>
      <c r="GX246" s="938"/>
      <c r="GY246" s="938"/>
      <c r="GZ246" s="938"/>
      <c r="HA246" s="938"/>
      <c r="HB246" s="938"/>
      <c r="HC246" s="938"/>
      <c r="HD246" s="938"/>
      <c r="HE246" s="938"/>
      <c r="HF246" s="938"/>
      <c r="HG246" s="938"/>
      <c r="HH246" s="938"/>
      <c r="HI246" s="938"/>
      <c r="HJ246" s="938"/>
      <c r="HK246" s="938"/>
      <c r="HL246" s="938"/>
      <c r="HM246" s="938"/>
      <c r="HN246" s="938"/>
      <c r="HO246" s="938"/>
      <c r="HP246" s="938"/>
      <c r="HQ246" s="938"/>
      <c r="HR246" s="938"/>
    </row>
    <row r="247" spans="1:226" s="939" customFormat="1" ht="24.95" customHeight="1">
      <c r="A247" s="1519"/>
      <c r="B247" s="1500"/>
      <c r="C247" s="1502"/>
      <c r="D247" s="1502"/>
      <c r="E247" s="957" t="s">
        <v>943</v>
      </c>
      <c r="F247" s="958">
        <f>SUM(F248,F259)</f>
        <v>5343930</v>
      </c>
      <c r="G247" s="958">
        <f>SUM(G248,G259)</f>
        <v>457930</v>
      </c>
      <c r="H247" s="958">
        <f>SUM(H248,H259)</f>
        <v>0</v>
      </c>
      <c r="I247" s="958">
        <f>SUM(I248,I259)</f>
        <v>4886000</v>
      </c>
      <c r="J247" s="959">
        <f>SUM(J248,J259)</f>
        <v>0</v>
      </c>
      <c r="K247" s="938"/>
    </row>
    <row r="248" spans="1:226" s="939" customFormat="1" ht="21.95" customHeight="1">
      <c r="A248" s="1519"/>
      <c r="B248" s="1500"/>
      <c r="C248" s="1502"/>
      <c r="D248" s="1502"/>
      <c r="E248" s="960" t="s">
        <v>944</v>
      </c>
      <c r="F248" s="961">
        <f>SUM(F249:F258)</f>
        <v>2444000</v>
      </c>
      <c r="G248" s="961">
        <f>SUM(G249:G258)</f>
        <v>0</v>
      </c>
      <c r="H248" s="961">
        <f>SUM(H249:H258)</f>
        <v>0</v>
      </c>
      <c r="I248" s="961">
        <f>SUM(I249:I258)</f>
        <v>2444000</v>
      </c>
      <c r="J248" s="962">
        <f>SUM(J249:J258)</f>
        <v>0</v>
      </c>
      <c r="K248" s="938"/>
    </row>
    <row r="249" spans="1:226" s="939" customFormat="1" ht="14.1" customHeight="1">
      <c r="A249" s="1519"/>
      <c r="B249" s="1500"/>
      <c r="C249" s="1502"/>
      <c r="D249" s="1502"/>
      <c r="E249" s="963" t="s">
        <v>291</v>
      </c>
      <c r="F249" s="964">
        <f t="shared" ref="F249:F258" si="9">SUM(G249:J249)</f>
        <v>1305000</v>
      </c>
      <c r="G249" s="964"/>
      <c r="H249" s="964"/>
      <c r="I249" s="964">
        <v>1305000</v>
      </c>
      <c r="J249" s="965"/>
      <c r="K249" s="938"/>
    </row>
    <row r="250" spans="1:226" s="939" customFormat="1" ht="14.1" customHeight="1">
      <c r="A250" s="1519"/>
      <c r="B250" s="1500"/>
      <c r="C250" s="1502"/>
      <c r="D250" s="1502"/>
      <c r="E250" s="963" t="s">
        <v>292</v>
      </c>
      <c r="F250" s="964">
        <f t="shared" si="9"/>
        <v>435000</v>
      </c>
      <c r="G250" s="964"/>
      <c r="H250" s="964"/>
      <c r="I250" s="964">
        <v>435000</v>
      </c>
      <c r="J250" s="965"/>
      <c r="K250" s="938"/>
    </row>
    <row r="251" spans="1:226" s="939" customFormat="1" ht="14.1" customHeight="1">
      <c r="A251" s="1519"/>
      <c r="B251" s="1500"/>
      <c r="C251" s="1502"/>
      <c r="D251" s="1502"/>
      <c r="E251" s="963" t="s">
        <v>293</v>
      </c>
      <c r="F251" s="964">
        <f t="shared" si="9"/>
        <v>225000</v>
      </c>
      <c r="G251" s="964"/>
      <c r="H251" s="964"/>
      <c r="I251" s="964">
        <v>225000</v>
      </c>
      <c r="J251" s="965"/>
      <c r="K251" s="938"/>
    </row>
    <row r="252" spans="1:226" s="939" customFormat="1" ht="14.1" customHeight="1">
      <c r="A252" s="1519"/>
      <c r="B252" s="1500"/>
      <c r="C252" s="1502"/>
      <c r="D252" s="1502"/>
      <c r="E252" s="963" t="s">
        <v>294</v>
      </c>
      <c r="F252" s="964">
        <f t="shared" si="9"/>
        <v>75000</v>
      </c>
      <c r="G252" s="964"/>
      <c r="H252" s="964"/>
      <c r="I252" s="964">
        <v>75000</v>
      </c>
      <c r="J252" s="965"/>
      <c r="K252" s="938"/>
    </row>
    <row r="253" spans="1:226" s="939" customFormat="1" ht="14.1" customHeight="1">
      <c r="A253" s="1519"/>
      <c r="B253" s="1500"/>
      <c r="C253" s="1502"/>
      <c r="D253" s="1502"/>
      <c r="E253" s="963" t="s">
        <v>295</v>
      </c>
      <c r="F253" s="964">
        <f t="shared" si="9"/>
        <v>241000</v>
      </c>
      <c r="G253" s="964"/>
      <c r="H253" s="964"/>
      <c r="I253" s="964">
        <v>241000</v>
      </c>
      <c r="J253" s="965"/>
      <c r="K253" s="938"/>
    </row>
    <row r="254" spans="1:226" s="939" customFormat="1" ht="14.1" customHeight="1">
      <c r="A254" s="1519"/>
      <c r="B254" s="1500"/>
      <c r="C254" s="1502"/>
      <c r="D254" s="1502"/>
      <c r="E254" s="963" t="s">
        <v>296</v>
      </c>
      <c r="F254" s="964">
        <f t="shared" si="9"/>
        <v>80000</v>
      </c>
      <c r="G254" s="964"/>
      <c r="H254" s="964"/>
      <c r="I254" s="964">
        <v>80000</v>
      </c>
      <c r="J254" s="965"/>
      <c r="K254" s="938"/>
    </row>
    <row r="255" spans="1:226" s="939" customFormat="1" ht="14.1" customHeight="1">
      <c r="A255" s="1519"/>
      <c r="B255" s="1500"/>
      <c r="C255" s="1502"/>
      <c r="D255" s="1502"/>
      <c r="E255" s="963" t="s">
        <v>297</v>
      </c>
      <c r="F255" s="964">
        <f t="shared" si="9"/>
        <v>32000</v>
      </c>
      <c r="G255" s="964"/>
      <c r="H255" s="964"/>
      <c r="I255" s="964">
        <v>32000</v>
      </c>
      <c r="J255" s="965"/>
      <c r="K255" s="938"/>
    </row>
    <row r="256" spans="1:226" s="939" customFormat="1" ht="14.1" customHeight="1">
      <c r="A256" s="1519"/>
      <c r="B256" s="1500"/>
      <c r="C256" s="1502"/>
      <c r="D256" s="1502"/>
      <c r="E256" s="963" t="s">
        <v>298</v>
      </c>
      <c r="F256" s="964">
        <f t="shared" si="9"/>
        <v>11000</v>
      </c>
      <c r="G256" s="964"/>
      <c r="H256" s="964"/>
      <c r="I256" s="964">
        <v>11000</v>
      </c>
      <c r="J256" s="965"/>
      <c r="K256" s="938"/>
    </row>
    <row r="257" spans="1:11" s="939" customFormat="1" ht="14.1" customHeight="1">
      <c r="A257" s="1519"/>
      <c r="B257" s="1500"/>
      <c r="C257" s="1502"/>
      <c r="D257" s="1502"/>
      <c r="E257" s="963" t="s">
        <v>299</v>
      </c>
      <c r="F257" s="964">
        <f t="shared" si="9"/>
        <v>30000</v>
      </c>
      <c r="G257" s="964"/>
      <c r="H257" s="964"/>
      <c r="I257" s="964">
        <v>30000</v>
      </c>
      <c r="J257" s="965"/>
      <c r="K257" s="938"/>
    </row>
    <row r="258" spans="1:11" s="939" customFormat="1" ht="14.1" customHeight="1">
      <c r="A258" s="1519"/>
      <c r="B258" s="1500"/>
      <c r="C258" s="1502"/>
      <c r="D258" s="1502"/>
      <c r="E258" s="963" t="s">
        <v>300</v>
      </c>
      <c r="F258" s="964">
        <f t="shared" si="9"/>
        <v>10000</v>
      </c>
      <c r="G258" s="964"/>
      <c r="H258" s="964"/>
      <c r="I258" s="964">
        <v>10000</v>
      </c>
      <c r="J258" s="965"/>
      <c r="K258" s="938"/>
    </row>
    <row r="259" spans="1:11" s="939" customFormat="1" ht="21.95" customHeight="1">
      <c r="A259" s="1519"/>
      <c r="B259" s="1500"/>
      <c r="C259" s="1502"/>
      <c r="D259" s="1502"/>
      <c r="E259" s="960" t="s">
        <v>945</v>
      </c>
      <c r="F259" s="961">
        <f>SUM(F260:F285)</f>
        <v>2899930</v>
      </c>
      <c r="G259" s="961">
        <f>SUM(G260:G285)</f>
        <v>457930</v>
      </c>
      <c r="H259" s="961">
        <f>SUM(H260:H285)</f>
        <v>0</v>
      </c>
      <c r="I259" s="961">
        <f>SUM(I260:I285)</f>
        <v>2442000</v>
      </c>
      <c r="J259" s="962">
        <f>SUM(J260:J285)</f>
        <v>0</v>
      </c>
      <c r="K259" s="938"/>
    </row>
    <row r="260" spans="1:11" s="939" customFormat="1" ht="15" hidden="1" customHeight="1">
      <c r="A260" s="1519"/>
      <c r="B260" s="1500"/>
      <c r="C260" s="1502"/>
      <c r="D260" s="1502"/>
      <c r="E260" s="976" t="s">
        <v>954</v>
      </c>
      <c r="F260" s="964">
        <f t="shared" ref="F260:F285" si="10">SUM(G260:J260)</f>
        <v>0</v>
      </c>
      <c r="G260" s="964"/>
      <c r="H260" s="964"/>
      <c r="I260" s="964"/>
      <c r="J260" s="965"/>
      <c r="K260" s="938"/>
    </row>
    <row r="261" spans="1:11" s="939" customFormat="1" ht="15" hidden="1" customHeight="1">
      <c r="A261" s="1519"/>
      <c r="B261" s="1500"/>
      <c r="C261" s="1502"/>
      <c r="D261" s="1502"/>
      <c r="E261" s="976" t="s">
        <v>977</v>
      </c>
      <c r="F261" s="964">
        <f t="shared" si="10"/>
        <v>0</v>
      </c>
      <c r="G261" s="964"/>
      <c r="H261" s="964"/>
      <c r="I261" s="964"/>
      <c r="J261" s="965"/>
      <c r="K261" s="938"/>
    </row>
    <row r="262" spans="1:11" s="939" customFormat="1" ht="14.1" customHeight="1">
      <c r="A262" s="1519"/>
      <c r="B262" s="1500"/>
      <c r="C262" s="1502"/>
      <c r="D262" s="1502"/>
      <c r="E262" s="963" t="s">
        <v>229</v>
      </c>
      <c r="F262" s="964">
        <f t="shared" si="10"/>
        <v>236900</v>
      </c>
      <c r="G262" s="964">
        <v>236900</v>
      </c>
      <c r="H262" s="964"/>
      <c r="I262" s="964"/>
      <c r="J262" s="965"/>
      <c r="K262" s="938"/>
    </row>
    <row r="263" spans="1:11" s="939" customFormat="1" ht="14.1" customHeight="1">
      <c r="A263" s="1519"/>
      <c r="B263" s="1500"/>
      <c r="C263" s="1502"/>
      <c r="D263" s="1502"/>
      <c r="E263" s="963" t="s">
        <v>301</v>
      </c>
      <c r="F263" s="964">
        <f t="shared" si="10"/>
        <v>772500</v>
      </c>
      <c r="G263" s="964"/>
      <c r="H263" s="964"/>
      <c r="I263" s="964">
        <v>772500</v>
      </c>
      <c r="J263" s="965"/>
      <c r="K263" s="938"/>
    </row>
    <row r="264" spans="1:11" s="939" customFormat="1" ht="14.1" customHeight="1">
      <c r="A264" s="1519"/>
      <c r="B264" s="1500"/>
      <c r="C264" s="1502"/>
      <c r="D264" s="1502"/>
      <c r="E264" s="963" t="s">
        <v>302</v>
      </c>
      <c r="F264" s="964">
        <f t="shared" si="10"/>
        <v>257500</v>
      </c>
      <c r="G264" s="964"/>
      <c r="H264" s="964"/>
      <c r="I264" s="964">
        <v>257500</v>
      </c>
      <c r="J264" s="965"/>
      <c r="K264" s="938"/>
    </row>
    <row r="265" spans="1:11" s="939" customFormat="1" ht="14.1" customHeight="1">
      <c r="A265" s="1519"/>
      <c r="B265" s="1500"/>
      <c r="C265" s="1502"/>
      <c r="D265" s="1502"/>
      <c r="E265" s="963" t="s">
        <v>237</v>
      </c>
      <c r="F265" s="964">
        <f t="shared" si="10"/>
        <v>189060</v>
      </c>
      <c r="G265" s="964">
        <v>189060</v>
      </c>
      <c r="H265" s="964"/>
      <c r="I265" s="964"/>
      <c r="J265" s="965"/>
      <c r="K265" s="938"/>
    </row>
    <row r="266" spans="1:11" s="939" customFormat="1" ht="14.1" customHeight="1">
      <c r="A266" s="1519"/>
      <c r="B266" s="1500"/>
      <c r="C266" s="1502"/>
      <c r="D266" s="1502"/>
      <c r="E266" s="963" t="s">
        <v>303</v>
      </c>
      <c r="F266" s="964">
        <f t="shared" si="10"/>
        <v>955250</v>
      </c>
      <c r="G266" s="964"/>
      <c r="H266" s="964"/>
      <c r="I266" s="964">
        <v>955250</v>
      </c>
      <c r="J266" s="965"/>
      <c r="K266" s="938"/>
    </row>
    <row r="267" spans="1:11" s="939" customFormat="1" ht="14.1" customHeight="1">
      <c r="A267" s="1519"/>
      <c r="B267" s="1500"/>
      <c r="C267" s="1502"/>
      <c r="D267" s="1502"/>
      <c r="E267" s="963" t="s">
        <v>304</v>
      </c>
      <c r="F267" s="964">
        <f t="shared" si="10"/>
        <v>317750</v>
      </c>
      <c r="G267" s="964"/>
      <c r="H267" s="964"/>
      <c r="I267" s="964">
        <v>317750</v>
      </c>
      <c r="J267" s="965"/>
      <c r="K267" s="938"/>
    </row>
    <row r="268" spans="1:11" s="939" customFormat="1" ht="14.1" customHeight="1">
      <c r="A268" s="1519"/>
      <c r="B268" s="1500"/>
      <c r="C268" s="1502"/>
      <c r="D268" s="1502"/>
      <c r="E268" s="963" t="s">
        <v>239</v>
      </c>
      <c r="F268" s="964">
        <f t="shared" si="10"/>
        <v>230</v>
      </c>
      <c r="G268" s="964">
        <v>230</v>
      </c>
      <c r="H268" s="964"/>
      <c r="I268" s="964"/>
      <c r="J268" s="965"/>
      <c r="K268" s="938"/>
    </row>
    <row r="269" spans="1:11" s="939" customFormat="1" ht="14.1" customHeight="1">
      <c r="A269" s="1519"/>
      <c r="B269" s="1500"/>
      <c r="C269" s="1502"/>
      <c r="D269" s="1502"/>
      <c r="E269" s="963" t="s">
        <v>305</v>
      </c>
      <c r="F269" s="964">
        <f t="shared" si="10"/>
        <v>750</v>
      </c>
      <c r="G269" s="964"/>
      <c r="H269" s="964"/>
      <c r="I269" s="964">
        <v>750</v>
      </c>
      <c r="J269" s="965"/>
      <c r="K269" s="938"/>
    </row>
    <row r="270" spans="1:11" s="939" customFormat="1" ht="14.1" customHeight="1">
      <c r="A270" s="1519"/>
      <c r="B270" s="1500"/>
      <c r="C270" s="1502"/>
      <c r="D270" s="1502"/>
      <c r="E270" s="963" t="s">
        <v>306</v>
      </c>
      <c r="F270" s="964">
        <f t="shared" si="10"/>
        <v>250</v>
      </c>
      <c r="G270" s="964"/>
      <c r="H270" s="964"/>
      <c r="I270" s="964">
        <v>250</v>
      </c>
      <c r="J270" s="965"/>
      <c r="K270" s="938"/>
    </row>
    <row r="271" spans="1:11" s="939" customFormat="1" ht="14.1" customHeight="1">
      <c r="A271" s="1519"/>
      <c r="B271" s="1500"/>
      <c r="C271" s="1502"/>
      <c r="D271" s="1502"/>
      <c r="E271" s="963" t="s">
        <v>241</v>
      </c>
      <c r="F271" s="964">
        <f t="shared" si="10"/>
        <v>690</v>
      </c>
      <c r="G271" s="964">
        <v>690</v>
      </c>
      <c r="H271" s="964"/>
      <c r="I271" s="964"/>
      <c r="J271" s="965"/>
      <c r="K271" s="938"/>
    </row>
    <row r="272" spans="1:11" s="939" customFormat="1" ht="14.1" customHeight="1">
      <c r="A272" s="1519"/>
      <c r="B272" s="1500"/>
      <c r="C272" s="1502"/>
      <c r="D272" s="1502"/>
      <c r="E272" s="963" t="s">
        <v>307</v>
      </c>
      <c r="F272" s="964">
        <f t="shared" si="10"/>
        <v>2250</v>
      </c>
      <c r="G272" s="964"/>
      <c r="H272" s="964"/>
      <c r="I272" s="964">
        <v>2250</v>
      </c>
      <c r="J272" s="965"/>
      <c r="K272" s="938"/>
    </row>
    <row r="273" spans="1:226" s="939" customFormat="1" ht="14.1" customHeight="1">
      <c r="A273" s="1519"/>
      <c r="B273" s="1500"/>
      <c r="C273" s="1502"/>
      <c r="D273" s="1502"/>
      <c r="E273" s="963" t="s">
        <v>308</v>
      </c>
      <c r="F273" s="964">
        <f t="shared" si="10"/>
        <v>750</v>
      </c>
      <c r="G273" s="964"/>
      <c r="H273" s="964"/>
      <c r="I273" s="964">
        <v>750</v>
      </c>
      <c r="J273" s="965"/>
      <c r="K273" s="938"/>
    </row>
    <row r="274" spans="1:226" s="939" customFormat="1" ht="14.1" customHeight="1">
      <c r="A274" s="1519"/>
      <c r="B274" s="1500"/>
      <c r="C274" s="1502"/>
      <c r="D274" s="1502"/>
      <c r="E274" s="963" t="s">
        <v>249</v>
      </c>
      <c r="F274" s="964">
        <f t="shared" si="10"/>
        <v>10350</v>
      </c>
      <c r="G274" s="964">
        <v>10350</v>
      </c>
      <c r="H274" s="964"/>
      <c r="I274" s="964"/>
      <c r="J274" s="965"/>
      <c r="K274" s="938"/>
    </row>
    <row r="275" spans="1:226" s="939" customFormat="1" ht="14.1" customHeight="1">
      <c r="A275" s="1519"/>
      <c r="B275" s="1500"/>
      <c r="C275" s="1502"/>
      <c r="D275" s="1502"/>
      <c r="E275" s="963" t="s">
        <v>309</v>
      </c>
      <c r="F275" s="964">
        <f t="shared" si="10"/>
        <v>33750</v>
      </c>
      <c r="G275" s="964"/>
      <c r="H275" s="964"/>
      <c r="I275" s="964">
        <v>33750</v>
      </c>
      <c r="J275" s="965"/>
      <c r="K275" s="938"/>
    </row>
    <row r="276" spans="1:226" s="939" customFormat="1" ht="14.1" customHeight="1">
      <c r="A276" s="1519"/>
      <c r="B276" s="1500"/>
      <c r="C276" s="1502"/>
      <c r="D276" s="1502"/>
      <c r="E276" s="963" t="s">
        <v>310</v>
      </c>
      <c r="F276" s="964">
        <f t="shared" si="10"/>
        <v>11250</v>
      </c>
      <c r="G276" s="964"/>
      <c r="H276" s="964"/>
      <c r="I276" s="964">
        <v>11250</v>
      </c>
      <c r="J276" s="965"/>
      <c r="K276" s="938"/>
    </row>
    <row r="277" spans="1:226" s="939" customFormat="1" ht="14.1" customHeight="1">
      <c r="A277" s="1519"/>
      <c r="B277" s="1500"/>
      <c r="C277" s="1502"/>
      <c r="D277" s="1502"/>
      <c r="E277" s="963" t="s">
        <v>311</v>
      </c>
      <c r="F277" s="964">
        <f t="shared" si="10"/>
        <v>2300</v>
      </c>
      <c r="G277" s="964">
        <v>2300</v>
      </c>
      <c r="H277" s="964"/>
      <c r="I277" s="964"/>
      <c r="J277" s="965"/>
      <c r="K277" s="938"/>
    </row>
    <row r="278" spans="1:226" s="939" customFormat="1" ht="14.1" customHeight="1">
      <c r="A278" s="1519"/>
      <c r="B278" s="1500"/>
      <c r="C278" s="1502"/>
      <c r="D278" s="1502"/>
      <c r="E278" s="963" t="s">
        <v>313</v>
      </c>
      <c r="F278" s="964">
        <f t="shared" si="10"/>
        <v>7500</v>
      </c>
      <c r="G278" s="964"/>
      <c r="H278" s="964"/>
      <c r="I278" s="964">
        <v>7500</v>
      </c>
      <c r="J278" s="965"/>
      <c r="K278" s="938"/>
    </row>
    <row r="279" spans="1:226" s="939" customFormat="1" ht="14.1" customHeight="1">
      <c r="A279" s="1519"/>
      <c r="B279" s="1500"/>
      <c r="C279" s="1502"/>
      <c r="D279" s="1502"/>
      <c r="E279" s="963" t="s">
        <v>314</v>
      </c>
      <c r="F279" s="964">
        <f t="shared" si="10"/>
        <v>2500</v>
      </c>
      <c r="G279" s="964"/>
      <c r="H279" s="964"/>
      <c r="I279" s="964">
        <v>2500</v>
      </c>
      <c r="J279" s="965"/>
      <c r="K279" s="938"/>
      <c r="L279" s="938"/>
      <c r="M279" s="938"/>
      <c r="N279" s="938"/>
      <c r="O279" s="938"/>
      <c r="P279" s="938"/>
      <c r="Q279" s="938"/>
      <c r="R279" s="938"/>
      <c r="S279" s="938"/>
      <c r="T279" s="938"/>
      <c r="U279" s="938"/>
      <c r="V279" s="938"/>
      <c r="W279" s="938"/>
      <c r="X279" s="938"/>
      <c r="Y279" s="938"/>
      <c r="Z279" s="938"/>
      <c r="AA279" s="938"/>
      <c r="AB279" s="938"/>
      <c r="AC279" s="938"/>
      <c r="AD279" s="938"/>
      <c r="AE279" s="938"/>
      <c r="AF279" s="938"/>
      <c r="AG279" s="938"/>
      <c r="AH279" s="938"/>
      <c r="AI279" s="938"/>
      <c r="AJ279" s="938"/>
      <c r="AK279" s="938"/>
      <c r="AL279" s="938"/>
      <c r="AM279" s="938"/>
      <c r="AN279" s="938"/>
      <c r="AO279" s="938"/>
      <c r="AP279" s="938"/>
      <c r="AQ279" s="938"/>
      <c r="AR279" s="938"/>
      <c r="AS279" s="938"/>
      <c r="AT279" s="938"/>
      <c r="AU279" s="938"/>
      <c r="AV279" s="938"/>
      <c r="AW279" s="938"/>
      <c r="AX279" s="938"/>
      <c r="AY279" s="938"/>
      <c r="AZ279" s="938"/>
      <c r="BA279" s="938"/>
      <c r="BB279" s="938"/>
      <c r="BC279" s="938"/>
      <c r="BD279" s="938"/>
      <c r="BE279" s="938"/>
      <c r="BF279" s="938"/>
      <c r="BG279" s="938"/>
      <c r="BH279" s="938"/>
      <c r="BI279" s="938"/>
      <c r="BJ279" s="938"/>
      <c r="BK279" s="938"/>
      <c r="BL279" s="938"/>
      <c r="BM279" s="938"/>
      <c r="BN279" s="938"/>
      <c r="BO279" s="938"/>
      <c r="BP279" s="938"/>
      <c r="BQ279" s="938"/>
      <c r="BR279" s="938"/>
      <c r="BS279" s="938"/>
      <c r="BT279" s="938"/>
      <c r="BU279" s="938"/>
      <c r="BV279" s="938"/>
      <c r="BW279" s="938"/>
      <c r="BX279" s="938"/>
      <c r="BY279" s="938"/>
      <c r="BZ279" s="938"/>
      <c r="CA279" s="938"/>
      <c r="CB279" s="938"/>
      <c r="CC279" s="938"/>
      <c r="CD279" s="938"/>
      <c r="CE279" s="938"/>
      <c r="CF279" s="938"/>
      <c r="CG279" s="938"/>
      <c r="CH279" s="938"/>
      <c r="CI279" s="938"/>
      <c r="CJ279" s="938"/>
      <c r="CK279" s="938"/>
      <c r="CL279" s="938"/>
      <c r="CM279" s="938"/>
      <c r="CN279" s="938"/>
      <c r="CO279" s="938"/>
      <c r="CP279" s="938"/>
      <c r="CQ279" s="938"/>
      <c r="CR279" s="938"/>
      <c r="CS279" s="938"/>
      <c r="CT279" s="938"/>
      <c r="CU279" s="938"/>
      <c r="CV279" s="938"/>
      <c r="CW279" s="938"/>
      <c r="CX279" s="938"/>
      <c r="CY279" s="938"/>
      <c r="CZ279" s="938"/>
      <c r="DA279" s="938"/>
      <c r="DB279" s="938"/>
      <c r="DC279" s="938"/>
      <c r="DD279" s="938"/>
      <c r="DE279" s="938"/>
      <c r="DF279" s="938"/>
      <c r="DG279" s="938"/>
      <c r="DH279" s="938"/>
      <c r="DI279" s="938"/>
      <c r="DJ279" s="938"/>
      <c r="DK279" s="938"/>
      <c r="DL279" s="938"/>
      <c r="DM279" s="938"/>
      <c r="DN279" s="938"/>
      <c r="DO279" s="938"/>
      <c r="DP279" s="938"/>
      <c r="DQ279" s="938"/>
      <c r="DR279" s="938"/>
      <c r="DS279" s="938"/>
      <c r="DT279" s="938"/>
      <c r="DU279" s="938"/>
      <c r="DV279" s="938"/>
      <c r="DW279" s="938"/>
      <c r="DX279" s="938"/>
      <c r="DY279" s="938"/>
      <c r="DZ279" s="938"/>
      <c r="EA279" s="938"/>
      <c r="EB279" s="938"/>
      <c r="EC279" s="938"/>
      <c r="ED279" s="938"/>
      <c r="EE279" s="938"/>
      <c r="EF279" s="938"/>
      <c r="EG279" s="938"/>
      <c r="EH279" s="938"/>
      <c r="EI279" s="938"/>
      <c r="EJ279" s="938"/>
      <c r="EK279" s="938"/>
      <c r="EL279" s="938"/>
      <c r="EM279" s="938"/>
      <c r="EN279" s="938"/>
      <c r="EO279" s="938"/>
      <c r="EP279" s="938"/>
      <c r="EQ279" s="938"/>
      <c r="ER279" s="938"/>
      <c r="ES279" s="938"/>
      <c r="ET279" s="938"/>
      <c r="EU279" s="938"/>
      <c r="EV279" s="938"/>
      <c r="EW279" s="938"/>
      <c r="EX279" s="938"/>
      <c r="EY279" s="938"/>
      <c r="EZ279" s="938"/>
      <c r="FA279" s="938"/>
      <c r="FB279" s="938"/>
      <c r="FC279" s="938"/>
      <c r="FD279" s="938"/>
      <c r="FE279" s="938"/>
      <c r="FF279" s="938"/>
      <c r="FG279" s="938"/>
      <c r="FH279" s="938"/>
      <c r="FI279" s="938"/>
      <c r="FJ279" s="938"/>
      <c r="FK279" s="938"/>
      <c r="FL279" s="938"/>
      <c r="FM279" s="938"/>
      <c r="FN279" s="938"/>
      <c r="FO279" s="938"/>
      <c r="FP279" s="938"/>
      <c r="FQ279" s="938"/>
      <c r="FR279" s="938"/>
      <c r="FS279" s="938"/>
      <c r="FT279" s="938"/>
      <c r="FU279" s="938"/>
      <c r="FV279" s="938"/>
      <c r="FW279" s="938"/>
      <c r="FX279" s="938"/>
      <c r="FY279" s="938"/>
      <c r="FZ279" s="938"/>
      <c r="GA279" s="938"/>
      <c r="GB279" s="938"/>
      <c r="GC279" s="938"/>
      <c r="GD279" s="938"/>
      <c r="GE279" s="938"/>
      <c r="GF279" s="938"/>
      <c r="GG279" s="938"/>
      <c r="GH279" s="938"/>
      <c r="GI279" s="938"/>
      <c r="GJ279" s="938"/>
      <c r="GK279" s="938"/>
      <c r="GL279" s="938"/>
      <c r="GM279" s="938"/>
      <c r="GN279" s="938"/>
      <c r="GO279" s="938"/>
      <c r="GP279" s="938"/>
      <c r="GQ279" s="938"/>
      <c r="GR279" s="938"/>
      <c r="GS279" s="938"/>
      <c r="GT279" s="938"/>
      <c r="GU279" s="938"/>
      <c r="GV279" s="938"/>
      <c r="GW279" s="938"/>
      <c r="GX279" s="938"/>
      <c r="GY279" s="938"/>
      <c r="GZ279" s="938"/>
      <c r="HA279" s="938"/>
      <c r="HB279" s="938"/>
      <c r="HC279" s="938"/>
      <c r="HD279" s="938"/>
      <c r="HE279" s="938"/>
      <c r="HF279" s="938"/>
      <c r="HG279" s="938"/>
      <c r="HH279" s="938"/>
      <c r="HI279" s="938"/>
      <c r="HJ279" s="938"/>
      <c r="HK279" s="938"/>
      <c r="HL279" s="938"/>
      <c r="HM279" s="938"/>
      <c r="HN279" s="938"/>
      <c r="HO279" s="938"/>
      <c r="HP279" s="938"/>
      <c r="HQ279" s="938"/>
      <c r="HR279" s="938"/>
    </row>
    <row r="280" spans="1:226" s="939" customFormat="1" ht="14.1" customHeight="1">
      <c r="A280" s="1519"/>
      <c r="B280" s="1500"/>
      <c r="C280" s="1502"/>
      <c r="D280" s="1502"/>
      <c r="E280" s="963" t="s">
        <v>251</v>
      </c>
      <c r="F280" s="964">
        <f t="shared" si="10"/>
        <v>2300</v>
      </c>
      <c r="G280" s="964">
        <v>2300</v>
      </c>
      <c r="H280" s="964"/>
      <c r="I280" s="964"/>
      <c r="J280" s="965"/>
      <c r="K280" s="938"/>
      <c r="L280" s="938"/>
      <c r="M280" s="938"/>
      <c r="N280" s="938"/>
      <c r="O280" s="938"/>
      <c r="P280" s="938"/>
      <c r="Q280" s="938"/>
      <c r="R280" s="938"/>
      <c r="S280" s="938"/>
      <c r="T280" s="938"/>
      <c r="U280" s="938"/>
      <c r="V280" s="938"/>
      <c r="W280" s="938"/>
      <c r="X280" s="938"/>
      <c r="Y280" s="938"/>
      <c r="Z280" s="938"/>
      <c r="AA280" s="938"/>
      <c r="AB280" s="938"/>
      <c r="AC280" s="938"/>
      <c r="AD280" s="938"/>
      <c r="AE280" s="938"/>
      <c r="AF280" s="938"/>
      <c r="AG280" s="938"/>
      <c r="AH280" s="938"/>
      <c r="AI280" s="938"/>
      <c r="AJ280" s="938"/>
      <c r="AK280" s="938"/>
      <c r="AL280" s="938"/>
      <c r="AM280" s="938"/>
      <c r="AN280" s="938"/>
      <c r="AO280" s="938"/>
      <c r="AP280" s="938"/>
      <c r="AQ280" s="938"/>
      <c r="AR280" s="938"/>
      <c r="AS280" s="938"/>
      <c r="AT280" s="938"/>
      <c r="AU280" s="938"/>
      <c r="AV280" s="938"/>
      <c r="AW280" s="938"/>
      <c r="AX280" s="938"/>
      <c r="AY280" s="938"/>
      <c r="AZ280" s="938"/>
      <c r="BA280" s="938"/>
      <c r="BB280" s="938"/>
      <c r="BC280" s="938"/>
      <c r="BD280" s="938"/>
      <c r="BE280" s="938"/>
      <c r="BF280" s="938"/>
      <c r="BG280" s="938"/>
      <c r="BH280" s="938"/>
      <c r="BI280" s="938"/>
      <c r="BJ280" s="938"/>
      <c r="BK280" s="938"/>
      <c r="BL280" s="938"/>
      <c r="BM280" s="938"/>
      <c r="BN280" s="938"/>
      <c r="BO280" s="938"/>
      <c r="BP280" s="938"/>
      <c r="BQ280" s="938"/>
      <c r="BR280" s="938"/>
      <c r="BS280" s="938"/>
      <c r="BT280" s="938"/>
      <c r="BU280" s="938"/>
      <c r="BV280" s="938"/>
      <c r="BW280" s="938"/>
      <c r="BX280" s="938"/>
      <c r="BY280" s="938"/>
      <c r="BZ280" s="938"/>
      <c r="CA280" s="938"/>
      <c r="CB280" s="938"/>
      <c r="CC280" s="938"/>
      <c r="CD280" s="938"/>
      <c r="CE280" s="938"/>
      <c r="CF280" s="938"/>
      <c r="CG280" s="938"/>
      <c r="CH280" s="938"/>
      <c r="CI280" s="938"/>
      <c r="CJ280" s="938"/>
      <c r="CK280" s="938"/>
      <c r="CL280" s="938"/>
      <c r="CM280" s="938"/>
      <c r="CN280" s="938"/>
      <c r="CO280" s="938"/>
      <c r="CP280" s="938"/>
      <c r="CQ280" s="938"/>
      <c r="CR280" s="938"/>
      <c r="CS280" s="938"/>
      <c r="CT280" s="938"/>
      <c r="CU280" s="938"/>
      <c r="CV280" s="938"/>
      <c r="CW280" s="938"/>
      <c r="CX280" s="938"/>
      <c r="CY280" s="938"/>
      <c r="CZ280" s="938"/>
      <c r="DA280" s="938"/>
      <c r="DB280" s="938"/>
      <c r="DC280" s="938"/>
      <c r="DD280" s="938"/>
      <c r="DE280" s="938"/>
      <c r="DF280" s="938"/>
      <c r="DG280" s="938"/>
      <c r="DH280" s="938"/>
      <c r="DI280" s="938"/>
      <c r="DJ280" s="938"/>
      <c r="DK280" s="938"/>
      <c r="DL280" s="938"/>
      <c r="DM280" s="938"/>
      <c r="DN280" s="938"/>
      <c r="DO280" s="938"/>
      <c r="DP280" s="938"/>
      <c r="DQ280" s="938"/>
      <c r="DR280" s="938"/>
      <c r="DS280" s="938"/>
      <c r="DT280" s="938"/>
      <c r="DU280" s="938"/>
      <c r="DV280" s="938"/>
      <c r="DW280" s="938"/>
      <c r="DX280" s="938"/>
      <c r="DY280" s="938"/>
      <c r="DZ280" s="938"/>
      <c r="EA280" s="938"/>
      <c r="EB280" s="938"/>
      <c r="EC280" s="938"/>
      <c r="ED280" s="938"/>
      <c r="EE280" s="938"/>
      <c r="EF280" s="938"/>
      <c r="EG280" s="938"/>
      <c r="EH280" s="938"/>
      <c r="EI280" s="938"/>
      <c r="EJ280" s="938"/>
      <c r="EK280" s="938"/>
      <c r="EL280" s="938"/>
      <c r="EM280" s="938"/>
      <c r="EN280" s="938"/>
      <c r="EO280" s="938"/>
      <c r="EP280" s="938"/>
      <c r="EQ280" s="938"/>
      <c r="ER280" s="938"/>
      <c r="ES280" s="938"/>
      <c r="ET280" s="938"/>
      <c r="EU280" s="938"/>
      <c r="EV280" s="938"/>
      <c r="EW280" s="938"/>
      <c r="EX280" s="938"/>
      <c r="EY280" s="938"/>
      <c r="EZ280" s="938"/>
      <c r="FA280" s="938"/>
      <c r="FB280" s="938"/>
      <c r="FC280" s="938"/>
      <c r="FD280" s="938"/>
      <c r="FE280" s="938"/>
      <c r="FF280" s="938"/>
      <c r="FG280" s="938"/>
      <c r="FH280" s="938"/>
      <c r="FI280" s="938"/>
      <c r="FJ280" s="938"/>
      <c r="FK280" s="938"/>
      <c r="FL280" s="938"/>
      <c r="FM280" s="938"/>
      <c r="FN280" s="938"/>
      <c r="FO280" s="938"/>
      <c r="FP280" s="938"/>
      <c r="FQ280" s="938"/>
      <c r="FR280" s="938"/>
      <c r="FS280" s="938"/>
      <c r="FT280" s="938"/>
      <c r="FU280" s="938"/>
      <c r="FV280" s="938"/>
      <c r="FW280" s="938"/>
      <c r="FX280" s="938"/>
      <c r="FY280" s="938"/>
      <c r="FZ280" s="938"/>
      <c r="GA280" s="938"/>
      <c r="GB280" s="938"/>
      <c r="GC280" s="938"/>
      <c r="GD280" s="938"/>
      <c r="GE280" s="938"/>
      <c r="GF280" s="938"/>
      <c r="GG280" s="938"/>
      <c r="GH280" s="938"/>
      <c r="GI280" s="938"/>
      <c r="GJ280" s="938"/>
      <c r="GK280" s="938"/>
      <c r="GL280" s="938"/>
      <c r="GM280" s="938"/>
      <c r="GN280" s="938"/>
      <c r="GO280" s="938"/>
      <c r="GP280" s="938"/>
      <c r="GQ280" s="938"/>
      <c r="GR280" s="938"/>
      <c r="GS280" s="938"/>
      <c r="GT280" s="938"/>
      <c r="GU280" s="938"/>
      <c r="GV280" s="938"/>
      <c r="GW280" s="938"/>
      <c r="GX280" s="938"/>
      <c r="GY280" s="938"/>
      <c r="GZ280" s="938"/>
      <c r="HA280" s="938"/>
      <c r="HB280" s="938"/>
      <c r="HC280" s="938"/>
      <c r="HD280" s="938"/>
      <c r="HE280" s="938"/>
      <c r="HF280" s="938"/>
      <c r="HG280" s="938"/>
      <c r="HH280" s="938"/>
      <c r="HI280" s="938"/>
      <c r="HJ280" s="938"/>
      <c r="HK280" s="938"/>
      <c r="HL280" s="938"/>
      <c r="HM280" s="938"/>
      <c r="HN280" s="938"/>
      <c r="HO280" s="938"/>
      <c r="HP280" s="938"/>
      <c r="HQ280" s="938"/>
      <c r="HR280" s="938"/>
    </row>
    <row r="281" spans="1:226" s="939" customFormat="1" ht="14.1" customHeight="1">
      <c r="A281" s="1519"/>
      <c r="B281" s="1500"/>
      <c r="C281" s="1502"/>
      <c r="D281" s="1502"/>
      <c r="E281" s="963" t="s">
        <v>315</v>
      </c>
      <c r="F281" s="964">
        <f t="shared" si="10"/>
        <v>7500</v>
      </c>
      <c r="G281" s="964"/>
      <c r="H281" s="964"/>
      <c r="I281" s="964">
        <v>7500</v>
      </c>
      <c r="J281" s="965"/>
      <c r="K281" s="938"/>
    </row>
    <row r="282" spans="1:226" s="939" customFormat="1" ht="14.1" customHeight="1">
      <c r="A282" s="1519"/>
      <c r="B282" s="1500"/>
      <c r="C282" s="1502"/>
      <c r="D282" s="1502"/>
      <c r="E282" s="963" t="s">
        <v>316</v>
      </c>
      <c r="F282" s="964">
        <f t="shared" si="10"/>
        <v>2500</v>
      </c>
      <c r="G282" s="964"/>
      <c r="H282" s="964"/>
      <c r="I282" s="964">
        <v>2500</v>
      </c>
      <c r="J282" s="965"/>
      <c r="K282" s="938"/>
    </row>
    <row r="283" spans="1:226" s="939" customFormat="1" ht="14.1" customHeight="1">
      <c r="A283" s="1519"/>
      <c r="B283" s="1500"/>
      <c r="C283" s="1502"/>
      <c r="D283" s="1502"/>
      <c r="E283" s="963" t="s">
        <v>261</v>
      </c>
      <c r="F283" s="964">
        <f t="shared" si="10"/>
        <v>16100</v>
      </c>
      <c r="G283" s="964">
        <v>16100</v>
      </c>
      <c r="H283" s="964"/>
      <c r="I283" s="964"/>
      <c r="J283" s="965"/>
      <c r="K283" s="938"/>
    </row>
    <row r="284" spans="1:226" s="939" customFormat="1" ht="14.1" customHeight="1">
      <c r="A284" s="1519"/>
      <c r="B284" s="1500"/>
      <c r="C284" s="1502"/>
      <c r="D284" s="1502"/>
      <c r="E284" s="963" t="s">
        <v>317</v>
      </c>
      <c r="F284" s="964">
        <f t="shared" si="10"/>
        <v>52500</v>
      </c>
      <c r="G284" s="964"/>
      <c r="H284" s="964"/>
      <c r="I284" s="964">
        <v>52500</v>
      </c>
      <c r="J284" s="965"/>
      <c r="K284" s="938"/>
    </row>
    <row r="285" spans="1:226" s="939" customFormat="1" ht="14.1" customHeight="1">
      <c r="A285" s="1519"/>
      <c r="B285" s="1500"/>
      <c r="C285" s="1502"/>
      <c r="D285" s="1502"/>
      <c r="E285" s="963" t="s">
        <v>318</v>
      </c>
      <c r="F285" s="964">
        <f t="shared" si="10"/>
        <v>17500</v>
      </c>
      <c r="G285" s="964"/>
      <c r="H285" s="964"/>
      <c r="I285" s="964">
        <v>17500</v>
      </c>
      <c r="J285" s="965"/>
      <c r="K285" s="938"/>
    </row>
    <row r="286" spans="1:226" s="939" customFormat="1" ht="24.95" customHeight="1">
      <c r="A286" s="1519"/>
      <c r="B286" s="1500"/>
      <c r="C286" s="1502"/>
      <c r="D286" s="1502"/>
      <c r="E286" s="966" t="s">
        <v>939</v>
      </c>
      <c r="F286" s="958">
        <f>SUM(F287:F289)</f>
        <v>360000</v>
      </c>
      <c r="G286" s="958">
        <f>SUM(G287:G289)</f>
        <v>80000</v>
      </c>
      <c r="H286" s="958">
        <f>SUM(H287:H289)</f>
        <v>0</v>
      </c>
      <c r="I286" s="958">
        <f>SUM(I287:I289)</f>
        <v>280000</v>
      </c>
      <c r="J286" s="959">
        <f>SUM(J287:J289)</f>
        <v>0</v>
      </c>
      <c r="K286" s="938"/>
    </row>
    <row r="287" spans="1:226" s="939" customFormat="1" ht="14.1" customHeight="1">
      <c r="A287" s="1519"/>
      <c r="B287" s="1500"/>
      <c r="C287" s="1502"/>
      <c r="D287" s="1502"/>
      <c r="E287" s="963" t="s">
        <v>270</v>
      </c>
      <c r="F287" s="964">
        <f>SUM(G287:J287)</f>
        <v>80000</v>
      </c>
      <c r="G287" s="964">
        <v>80000</v>
      </c>
      <c r="H287" s="964"/>
      <c r="I287" s="964"/>
      <c r="J287" s="965"/>
      <c r="K287" s="938"/>
    </row>
    <row r="288" spans="1:226" s="939" customFormat="1" ht="14.1" customHeight="1">
      <c r="A288" s="1519"/>
      <c r="B288" s="1500"/>
      <c r="C288" s="1502"/>
      <c r="D288" s="1502"/>
      <c r="E288" s="963" t="s">
        <v>319</v>
      </c>
      <c r="F288" s="964">
        <f>SUM(G288:J288)</f>
        <v>210000</v>
      </c>
      <c r="G288" s="964"/>
      <c r="H288" s="964"/>
      <c r="I288" s="964">
        <v>210000</v>
      </c>
      <c r="J288" s="965"/>
      <c r="K288" s="938"/>
    </row>
    <row r="289" spans="1:226" s="939" customFormat="1" ht="14.1" customHeight="1">
      <c r="A289" s="1519"/>
      <c r="B289" s="1500"/>
      <c r="C289" s="1502"/>
      <c r="D289" s="1502"/>
      <c r="E289" s="975">
        <v>6069</v>
      </c>
      <c r="F289" s="964">
        <f>SUM(G289:J289)</f>
        <v>70000</v>
      </c>
      <c r="G289" s="964"/>
      <c r="H289" s="964"/>
      <c r="I289" s="964">
        <v>70000</v>
      </c>
      <c r="J289" s="965"/>
      <c r="K289" s="938"/>
    </row>
    <row r="290" spans="1:226" s="939" customFormat="1" ht="21.95" customHeight="1">
      <c r="A290" s="1519" t="s">
        <v>978</v>
      </c>
      <c r="B290" s="1500" t="s">
        <v>979</v>
      </c>
      <c r="C290" s="1502" t="s">
        <v>339</v>
      </c>
      <c r="D290" s="1502" t="s">
        <v>341</v>
      </c>
      <c r="E290" s="954" t="s">
        <v>937</v>
      </c>
      <c r="F290" s="955">
        <f>SUM(F291,F323)</f>
        <v>828000</v>
      </c>
      <c r="G290" s="955">
        <f>SUM(G291,G323)</f>
        <v>0</v>
      </c>
      <c r="H290" s="955">
        <f>SUM(H291,H323)</f>
        <v>0</v>
      </c>
      <c r="I290" s="955">
        <f>SUM(I291,I323)</f>
        <v>828000</v>
      </c>
      <c r="J290" s="956">
        <f>SUM(J291,J323)</f>
        <v>0</v>
      </c>
      <c r="K290" s="938"/>
    </row>
    <row r="291" spans="1:226" s="939" customFormat="1" ht="21.95" customHeight="1">
      <c r="A291" s="1519"/>
      <c r="B291" s="1500"/>
      <c r="C291" s="1502"/>
      <c r="D291" s="1502"/>
      <c r="E291" s="957" t="s">
        <v>943</v>
      </c>
      <c r="F291" s="958">
        <f>SUM(F292,F303)</f>
        <v>828000</v>
      </c>
      <c r="G291" s="958">
        <f>SUM(G292,G303)</f>
        <v>0</v>
      </c>
      <c r="H291" s="958">
        <f>SUM(H292,H303)</f>
        <v>0</v>
      </c>
      <c r="I291" s="958">
        <f>SUM(I292,I303)</f>
        <v>828000</v>
      </c>
      <c r="J291" s="959">
        <f>SUM(J292,J303)</f>
        <v>0</v>
      </c>
      <c r="K291" s="938"/>
    </row>
    <row r="292" spans="1:226" s="939" customFormat="1" ht="21.95" customHeight="1">
      <c r="A292" s="1519"/>
      <c r="B292" s="1500"/>
      <c r="C292" s="1502"/>
      <c r="D292" s="1502"/>
      <c r="E292" s="960" t="s">
        <v>944</v>
      </c>
      <c r="F292" s="961">
        <f>SUM(F293:F302)</f>
        <v>656000</v>
      </c>
      <c r="G292" s="961">
        <f>SUM(G293:G302)</f>
        <v>0</v>
      </c>
      <c r="H292" s="961">
        <f>SUM(H293:H302)</f>
        <v>0</v>
      </c>
      <c r="I292" s="961">
        <f>SUM(I293:I302)</f>
        <v>656000</v>
      </c>
      <c r="J292" s="962">
        <f>SUM(J293:J302)</f>
        <v>0</v>
      </c>
      <c r="K292" s="938"/>
    </row>
    <row r="293" spans="1:226" s="939" customFormat="1" ht="14.1" customHeight="1">
      <c r="A293" s="1519"/>
      <c r="B293" s="1500"/>
      <c r="C293" s="1502"/>
      <c r="D293" s="1502"/>
      <c r="E293" s="963" t="s">
        <v>291</v>
      </c>
      <c r="F293" s="964">
        <f t="shared" ref="F293:F302" si="11">SUM(G293:J293)</f>
        <v>379500</v>
      </c>
      <c r="G293" s="964"/>
      <c r="H293" s="964"/>
      <c r="I293" s="964">
        <v>379500</v>
      </c>
      <c r="J293" s="965"/>
      <c r="K293" s="938"/>
    </row>
    <row r="294" spans="1:226" s="939" customFormat="1" ht="14.1" customHeight="1">
      <c r="A294" s="1519"/>
      <c r="B294" s="1500"/>
      <c r="C294" s="1502"/>
      <c r="D294" s="1502"/>
      <c r="E294" s="963" t="s">
        <v>292</v>
      </c>
      <c r="F294" s="964">
        <f t="shared" si="11"/>
        <v>126500</v>
      </c>
      <c r="G294" s="964"/>
      <c r="H294" s="964"/>
      <c r="I294" s="964">
        <v>126500</v>
      </c>
      <c r="J294" s="965"/>
      <c r="K294" s="938"/>
    </row>
    <row r="295" spans="1:226" s="939" customFormat="1" ht="14.1" customHeight="1">
      <c r="A295" s="1519"/>
      <c r="B295" s="1500"/>
      <c r="C295" s="1502"/>
      <c r="D295" s="1502"/>
      <c r="E295" s="963" t="s">
        <v>293</v>
      </c>
      <c r="F295" s="964">
        <f t="shared" si="11"/>
        <v>27000</v>
      </c>
      <c r="G295" s="964"/>
      <c r="H295" s="964"/>
      <c r="I295" s="964">
        <v>27000</v>
      </c>
      <c r="J295" s="965"/>
      <c r="K295" s="938"/>
    </row>
    <row r="296" spans="1:226" s="939" customFormat="1" ht="14.1" customHeight="1">
      <c r="A296" s="1519"/>
      <c r="B296" s="1500"/>
      <c r="C296" s="1502"/>
      <c r="D296" s="1502"/>
      <c r="E296" s="963" t="s">
        <v>294</v>
      </c>
      <c r="F296" s="964">
        <f t="shared" si="11"/>
        <v>9000</v>
      </c>
      <c r="G296" s="964"/>
      <c r="H296" s="964"/>
      <c r="I296" s="964">
        <v>9000</v>
      </c>
      <c r="J296" s="965"/>
      <c r="K296" s="938"/>
    </row>
    <row r="297" spans="1:226" s="939" customFormat="1" ht="14.1" customHeight="1">
      <c r="A297" s="1519"/>
      <c r="B297" s="1500"/>
      <c r="C297" s="1502"/>
      <c r="D297" s="1502"/>
      <c r="E297" s="963" t="s">
        <v>295</v>
      </c>
      <c r="F297" s="964">
        <f t="shared" si="11"/>
        <v>72000</v>
      </c>
      <c r="G297" s="964"/>
      <c r="H297" s="964"/>
      <c r="I297" s="964">
        <v>72000</v>
      </c>
      <c r="J297" s="965"/>
      <c r="K297" s="938"/>
    </row>
    <row r="298" spans="1:226" s="939" customFormat="1" ht="14.1" customHeight="1">
      <c r="A298" s="1519"/>
      <c r="B298" s="1500"/>
      <c r="C298" s="1502"/>
      <c r="D298" s="1502"/>
      <c r="E298" s="963" t="s">
        <v>296</v>
      </c>
      <c r="F298" s="964">
        <f t="shared" si="11"/>
        <v>24000</v>
      </c>
      <c r="G298" s="964"/>
      <c r="H298" s="964"/>
      <c r="I298" s="964">
        <v>24000</v>
      </c>
      <c r="J298" s="965"/>
      <c r="K298" s="938"/>
    </row>
    <row r="299" spans="1:226" s="939" customFormat="1" ht="14.1" customHeight="1">
      <c r="A299" s="1519"/>
      <c r="B299" s="1500"/>
      <c r="C299" s="1502"/>
      <c r="D299" s="1502"/>
      <c r="E299" s="963" t="s">
        <v>297</v>
      </c>
      <c r="F299" s="964">
        <f t="shared" si="11"/>
        <v>10500</v>
      </c>
      <c r="G299" s="964"/>
      <c r="H299" s="964"/>
      <c r="I299" s="964">
        <v>10500</v>
      </c>
      <c r="J299" s="965"/>
      <c r="K299" s="938"/>
      <c r="L299" s="938"/>
      <c r="M299" s="938"/>
      <c r="N299" s="938"/>
      <c r="O299" s="938"/>
      <c r="P299" s="938"/>
      <c r="Q299" s="938"/>
      <c r="R299" s="938"/>
      <c r="S299" s="938"/>
      <c r="T299" s="938"/>
      <c r="U299" s="938"/>
      <c r="V299" s="938"/>
      <c r="W299" s="938"/>
      <c r="X299" s="938"/>
      <c r="Y299" s="938"/>
      <c r="Z299" s="938"/>
      <c r="AA299" s="938"/>
      <c r="AB299" s="938"/>
      <c r="AC299" s="938"/>
      <c r="AD299" s="938"/>
      <c r="AE299" s="938"/>
      <c r="AF299" s="938"/>
      <c r="AG299" s="938"/>
      <c r="AH299" s="938"/>
      <c r="AI299" s="938"/>
      <c r="AJ299" s="938"/>
      <c r="AK299" s="938"/>
      <c r="AL299" s="938"/>
      <c r="AM299" s="938"/>
      <c r="AN299" s="938"/>
      <c r="AO299" s="938"/>
      <c r="AP299" s="938"/>
      <c r="AQ299" s="938"/>
      <c r="AR299" s="938"/>
      <c r="AS299" s="938"/>
      <c r="AT299" s="938"/>
      <c r="AU299" s="938"/>
      <c r="AV299" s="938"/>
      <c r="AW299" s="938"/>
      <c r="AX299" s="938"/>
      <c r="AY299" s="938"/>
      <c r="AZ299" s="938"/>
      <c r="BA299" s="938"/>
      <c r="BB299" s="938"/>
      <c r="BC299" s="938"/>
      <c r="BD299" s="938"/>
      <c r="BE299" s="938"/>
      <c r="BF299" s="938"/>
      <c r="BG299" s="938"/>
      <c r="BH299" s="938"/>
      <c r="BI299" s="938"/>
      <c r="BJ299" s="938"/>
      <c r="BK299" s="938"/>
      <c r="BL299" s="938"/>
      <c r="BM299" s="938"/>
      <c r="BN299" s="938"/>
      <c r="BO299" s="938"/>
      <c r="BP299" s="938"/>
      <c r="BQ299" s="938"/>
      <c r="BR299" s="938"/>
      <c r="BS299" s="938"/>
      <c r="BT299" s="938"/>
      <c r="BU299" s="938"/>
      <c r="BV299" s="938"/>
      <c r="BW299" s="938"/>
      <c r="BX299" s="938"/>
      <c r="BY299" s="938"/>
      <c r="BZ299" s="938"/>
      <c r="CA299" s="938"/>
      <c r="CB299" s="938"/>
      <c r="CC299" s="938"/>
      <c r="CD299" s="938"/>
      <c r="CE299" s="938"/>
      <c r="CF299" s="938"/>
      <c r="CG299" s="938"/>
      <c r="CH299" s="938"/>
      <c r="CI299" s="938"/>
      <c r="CJ299" s="938"/>
      <c r="CK299" s="938"/>
      <c r="CL299" s="938"/>
      <c r="CM299" s="938"/>
      <c r="CN299" s="938"/>
      <c r="CO299" s="938"/>
      <c r="CP299" s="938"/>
      <c r="CQ299" s="938"/>
      <c r="CR299" s="938"/>
      <c r="CS299" s="938"/>
      <c r="CT299" s="938"/>
      <c r="CU299" s="938"/>
      <c r="CV299" s="938"/>
      <c r="CW299" s="938"/>
      <c r="CX299" s="938"/>
      <c r="CY299" s="938"/>
      <c r="CZ299" s="938"/>
      <c r="DA299" s="938"/>
      <c r="DB299" s="938"/>
      <c r="DC299" s="938"/>
      <c r="DD299" s="938"/>
      <c r="DE299" s="938"/>
      <c r="DF299" s="938"/>
      <c r="DG299" s="938"/>
      <c r="DH299" s="938"/>
      <c r="DI299" s="938"/>
      <c r="DJ299" s="938"/>
      <c r="DK299" s="938"/>
      <c r="DL299" s="938"/>
      <c r="DM299" s="938"/>
      <c r="DN299" s="938"/>
      <c r="DO299" s="938"/>
      <c r="DP299" s="938"/>
      <c r="DQ299" s="938"/>
      <c r="DR299" s="938"/>
      <c r="DS299" s="938"/>
      <c r="DT299" s="938"/>
      <c r="DU299" s="938"/>
      <c r="DV299" s="938"/>
      <c r="DW299" s="938"/>
      <c r="DX299" s="938"/>
      <c r="DY299" s="938"/>
      <c r="DZ299" s="938"/>
      <c r="EA299" s="938"/>
      <c r="EB299" s="938"/>
      <c r="EC299" s="938"/>
      <c r="ED299" s="938"/>
      <c r="EE299" s="938"/>
      <c r="EF299" s="938"/>
      <c r="EG299" s="938"/>
      <c r="EH299" s="938"/>
      <c r="EI299" s="938"/>
      <c r="EJ299" s="938"/>
      <c r="EK299" s="938"/>
      <c r="EL299" s="938"/>
      <c r="EM299" s="938"/>
      <c r="EN299" s="938"/>
      <c r="EO299" s="938"/>
      <c r="EP299" s="938"/>
      <c r="EQ299" s="938"/>
      <c r="ER299" s="938"/>
      <c r="ES299" s="938"/>
      <c r="ET299" s="938"/>
      <c r="EU299" s="938"/>
      <c r="EV299" s="938"/>
      <c r="EW299" s="938"/>
      <c r="EX299" s="938"/>
      <c r="EY299" s="938"/>
      <c r="EZ299" s="938"/>
      <c r="FA299" s="938"/>
      <c r="FB299" s="938"/>
      <c r="FC299" s="938"/>
      <c r="FD299" s="938"/>
      <c r="FE299" s="938"/>
      <c r="FF299" s="938"/>
      <c r="FG299" s="938"/>
      <c r="FH299" s="938"/>
      <c r="FI299" s="938"/>
      <c r="FJ299" s="938"/>
      <c r="FK299" s="938"/>
      <c r="FL299" s="938"/>
      <c r="FM299" s="938"/>
      <c r="FN299" s="938"/>
      <c r="FO299" s="938"/>
      <c r="FP299" s="938"/>
      <c r="FQ299" s="938"/>
      <c r="FR299" s="938"/>
      <c r="FS299" s="938"/>
      <c r="FT299" s="938"/>
      <c r="FU299" s="938"/>
      <c r="FV299" s="938"/>
      <c r="FW299" s="938"/>
      <c r="FX299" s="938"/>
      <c r="FY299" s="938"/>
      <c r="FZ299" s="938"/>
      <c r="GA299" s="938"/>
      <c r="GB299" s="938"/>
      <c r="GC299" s="938"/>
      <c r="GD299" s="938"/>
      <c r="GE299" s="938"/>
      <c r="GF299" s="938"/>
      <c r="GG299" s="938"/>
      <c r="GH299" s="938"/>
      <c r="GI299" s="938"/>
      <c r="GJ299" s="938"/>
      <c r="GK299" s="938"/>
      <c r="GL299" s="938"/>
      <c r="GM299" s="938"/>
      <c r="GN299" s="938"/>
      <c r="GO299" s="938"/>
      <c r="GP299" s="938"/>
      <c r="GQ299" s="938"/>
      <c r="GR299" s="938"/>
      <c r="GS299" s="938"/>
      <c r="GT299" s="938"/>
      <c r="GU299" s="938"/>
      <c r="GV299" s="938"/>
      <c r="GW299" s="938"/>
      <c r="GX299" s="938"/>
      <c r="GY299" s="938"/>
      <c r="GZ299" s="938"/>
      <c r="HA299" s="938"/>
      <c r="HB299" s="938"/>
      <c r="HC299" s="938"/>
      <c r="HD299" s="938"/>
      <c r="HE299" s="938"/>
      <c r="HF299" s="938"/>
      <c r="HG299" s="938"/>
      <c r="HH299" s="938"/>
      <c r="HI299" s="938"/>
      <c r="HJ299" s="938"/>
      <c r="HK299" s="938"/>
      <c r="HL299" s="938"/>
      <c r="HM299" s="938"/>
      <c r="HN299" s="938"/>
      <c r="HO299" s="938"/>
      <c r="HP299" s="938"/>
      <c r="HQ299" s="938"/>
      <c r="HR299" s="938"/>
    </row>
    <row r="300" spans="1:226" s="939" customFormat="1" ht="14.1" customHeight="1">
      <c r="A300" s="1519"/>
      <c r="B300" s="1500"/>
      <c r="C300" s="1502"/>
      <c r="D300" s="1502"/>
      <c r="E300" s="963" t="s">
        <v>298</v>
      </c>
      <c r="F300" s="964">
        <f t="shared" si="11"/>
        <v>3500</v>
      </c>
      <c r="G300" s="964"/>
      <c r="H300" s="964"/>
      <c r="I300" s="964">
        <v>3500</v>
      </c>
      <c r="J300" s="965"/>
      <c r="K300" s="938"/>
    </row>
    <row r="301" spans="1:226" s="939" customFormat="1" ht="14.1" customHeight="1">
      <c r="A301" s="1519"/>
      <c r="B301" s="1500"/>
      <c r="C301" s="1502"/>
      <c r="D301" s="1502"/>
      <c r="E301" s="963" t="s">
        <v>299</v>
      </c>
      <c r="F301" s="964">
        <f t="shared" si="11"/>
        <v>3000</v>
      </c>
      <c r="G301" s="964"/>
      <c r="H301" s="964"/>
      <c r="I301" s="964">
        <v>3000</v>
      </c>
      <c r="J301" s="965"/>
      <c r="K301" s="938"/>
    </row>
    <row r="302" spans="1:226" s="939" customFormat="1" ht="14.1" customHeight="1">
      <c r="A302" s="1519"/>
      <c r="B302" s="1500"/>
      <c r="C302" s="1502"/>
      <c r="D302" s="1502"/>
      <c r="E302" s="963" t="s">
        <v>300</v>
      </c>
      <c r="F302" s="964">
        <f t="shared" si="11"/>
        <v>1000</v>
      </c>
      <c r="G302" s="964"/>
      <c r="H302" s="964"/>
      <c r="I302" s="964">
        <v>1000</v>
      </c>
      <c r="J302" s="965"/>
      <c r="K302" s="938"/>
    </row>
    <row r="303" spans="1:226" s="939" customFormat="1" ht="21.95" customHeight="1">
      <c r="A303" s="1519"/>
      <c r="B303" s="1500"/>
      <c r="C303" s="1502"/>
      <c r="D303" s="1502"/>
      <c r="E303" s="960" t="s">
        <v>945</v>
      </c>
      <c r="F303" s="961">
        <f>SUM(F304:F322)</f>
        <v>172000</v>
      </c>
      <c r="G303" s="961">
        <f>SUM(G304:G322)</f>
        <v>0</v>
      </c>
      <c r="H303" s="961">
        <f>SUM(H304:H322)</f>
        <v>0</v>
      </c>
      <c r="I303" s="961">
        <f>SUM(I304:I322)</f>
        <v>172000</v>
      </c>
      <c r="J303" s="962">
        <f>SUM(J304:J322)</f>
        <v>0</v>
      </c>
      <c r="K303" s="938"/>
    </row>
    <row r="304" spans="1:226" s="939" customFormat="1" ht="15" hidden="1" customHeight="1">
      <c r="A304" s="1519"/>
      <c r="B304" s="1500"/>
      <c r="C304" s="1502"/>
      <c r="D304" s="1502"/>
      <c r="E304" s="963" t="s">
        <v>229</v>
      </c>
      <c r="F304" s="964">
        <f t="shared" ref="F304:F322" si="12">SUM(G304:J304)</f>
        <v>0</v>
      </c>
      <c r="G304" s="964"/>
      <c r="H304" s="964"/>
      <c r="I304" s="964"/>
      <c r="J304" s="965"/>
      <c r="K304" s="938"/>
    </row>
    <row r="305" spans="1:11" s="939" customFormat="1" ht="14.1" customHeight="1">
      <c r="A305" s="1519"/>
      <c r="B305" s="1500"/>
      <c r="C305" s="1502"/>
      <c r="D305" s="1502"/>
      <c r="E305" s="963" t="s">
        <v>301</v>
      </c>
      <c r="F305" s="964">
        <f t="shared" si="12"/>
        <v>37500</v>
      </c>
      <c r="G305" s="964"/>
      <c r="H305" s="964"/>
      <c r="I305" s="964">
        <v>37500</v>
      </c>
      <c r="J305" s="965"/>
      <c r="K305" s="938"/>
    </row>
    <row r="306" spans="1:11" s="939" customFormat="1" ht="14.1" customHeight="1">
      <c r="A306" s="1519"/>
      <c r="B306" s="1500"/>
      <c r="C306" s="1502"/>
      <c r="D306" s="1502"/>
      <c r="E306" s="963" t="s">
        <v>302</v>
      </c>
      <c r="F306" s="964">
        <f t="shared" si="12"/>
        <v>12500</v>
      </c>
      <c r="G306" s="964"/>
      <c r="H306" s="964"/>
      <c r="I306" s="964">
        <v>12500</v>
      </c>
      <c r="J306" s="965"/>
      <c r="K306" s="938"/>
    </row>
    <row r="307" spans="1:11" s="939" customFormat="1" ht="14.1" hidden="1" customHeight="1">
      <c r="A307" s="1519"/>
      <c r="B307" s="1500"/>
      <c r="C307" s="1502"/>
      <c r="D307" s="1502"/>
      <c r="E307" s="963" t="s">
        <v>237</v>
      </c>
      <c r="F307" s="964">
        <f t="shared" si="12"/>
        <v>0</v>
      </c>
      <c r="G307" s="964"/>
      <c r="H307" s="964"/>
      <c r="I307" s="964"/>
      <c r="J307" s="965"/>
      <c r="K307" s="938"/>
    </row>
    <row r="308" spans="1:11" s="939" customFormat="1" ht="14.1" customHeight="1">
      <c r="A308" s="1519"/>
      <c r="B308" s="1500"/>
      <c r="C308" s="1502"/>
      <c r="D308" s="1502"/>
      <c r="E308" s="963" t="s">
        <v>303</v>
      </c>
      <c r="F308" s="964">
        <f t="shared" si="12"/>
        <v>52500</v>
      </c>
      <c r="G308" s="964"/>
      <c r="H308" s="964"/>
      <c r="I308" s="964">
        <v>52500</v>
      </c>
      <c r="J308" s="965"/>
      <c r="K308" s="938"/>
    </row>
    <row r="309" spans="1:11" s="939" customFormat="1" ht="14.1" customHeight="1">
      <c r="A309" s="1519"/>
      <c r="B309" s="1500"/>
      <c r="C309" s="1502"/>
      <c r="D309" s="1502"/>
      <c r="E309" s="963" t="s">
        <v>304</v>
      </c>
      <c r="F309" s="964">
        <f t="shared" si="12"/>
        <v>17500</v>
      </c>
      <c r="G309" s="964"/>
      <c r="H309" s="964"/>
      <c r="I309" s="964">
        <v>17500</v>
      </c>
      <c r="J309" s="965"/>
      <c r="K309" s="938"/>
    </row>
    <row r="310" spans="1:11" s="939" customFormat="1" ht="14.1" hidden="1" customHeight="1">
      <c r="A310" s="1519"/>
      <c r="B310" s="1500"/>
      <c r="C310" s="1502"/>
      <c r="D310" s="1502"/>
      <c r="E310" s="963" t="s">
        <v>239</v>
      </c>
      <c r="F310" s="964">
        <f t="shared" si="12"/>
        <v>0</v>
      </c>
      <c r="G310" s="964"/>
      <c r="H310" s="964"/>
      <c r="I310" s="964"/>
      <c r="J310" s="965"/>
      <c r="K310" s="938"/>
    </row>
    <row r="311" spans="1:11" s="939" customFormat="1" ht="14.1" hidden="1" customHeight="1">
      <c r="A311" s="1519"/>
      <c r="B311" s="1500"/>
      <c r="C311" s="1502"/>
      <c r="D311" s="1502"/>
      <c r="E311" s="963" t="s">
        <v>305</v>
      </c>
      <c r="F311" s="964">
        <f t="shared" si="12"/>
        <v>0</v>
      </c>
      <c r="G311" s="964"/>
      <c r="H311" s="964"/>
      <c r="I311" s="964"/>
      <c r="J311" s="965"/>
      <c r="K311" s="938"/>
    </row>
    <row r="312" spans="1:11" s="939" customFormat="1" ht="14.1" hidden="1" customHeight="1">
      <c r="A312" s="1519"/>
      <c r="B312" s="1500"/>
      <c r="C312" s="1502"/>
      <c r="D312" s="1502"/>
      <c r="E312" s="963" t="s">
        <v>306</v>
      </c>
      <c r="F312" s="964">
        <f t="shared" si="12"/>
        <v>0</v>
      </c>
      <c r="G312" s="964"/>
      <c r="H312" s="964"/>
      <c r="I312" s="964"/>
      <c r="J312" s="965"/>
      <c r="K312" s="938"/>
    </row>
    <row r="313" spans="1:11" s="939" customFormat="1" ht="14.1" hidden="1" customHeight="1">
      <c r="A313" s="1519"/>
      <c r="B313" s="1500"/>
      <c r="C313" s="1502"/>
      <c r="D313" s="1502"/>
      <c r="E313" s="963" t="s">
        <v>241</v>
      </c>
      <c r="F313" s="964">
        <f t="shared" si="12"/>
        <v>0</v>
      </c>
      <c r="G313" s="964"/>
      <c r="H313" s="964"/>
      <c r="I313" s="964"/>
      <c r="J313" s="965"/>
      <c r="K313" s="938"/>
    </row>
    <row r="314" spans="1:11" s="939" customFormat="1" ht="14.1" hidden="1" customHeight="1">
      <c r="A314" s="1519"/>
      <c r="B314" s="1500"/>
      <c r="C314" s="1502"/>
      <c r="D314" s="1502"/>
      <c r="E314" s="963" t="s">
        <v>307</v>
      </c>
      <c r="F314" s="964">
        <f t="shared" si="12"/>
        <v>0</v>
      </c>
      <c r="G314" s="964"/>
      <c r="H314" s="964"/>
      <c r="I314" s="964"/>
      <c r="J314" s="965"/>
      <c r="K314" s="938"/>
    </row>
    <row r="315" spans="1:11" s="939" customFormat="1" ht="14.1" hidden="1" customHeight="1">
      <c r="A315" s="1519"/>
      <c r="B315" s="1500"/>
      <c r="C315" s="1502"/>
      <c r="D315" s="1502"/>
      <c r="E315" s="963" t="s">
        <v>308</v>
      </c>
      <c r="F315" s="964">
        <f t="shared" si="12"/>
        <v>0</v>
      </c>
      <c r="G315" s="964"/>
      <c r="H315" s="964"/>
      <c r="I315" s="964"/>
      <c r="J315" s="965"/>
      <c r="K315" s="938"/>
    </row>
    <row r="316" spans="1:11" s="939" customFormat="1" ht="14.1" hidden="1" customHeight="1">
      <c r="A316" s="1519"/>
      <c r="B316" s="1500"/>
      <c r="C316" s="1502"/>
      <c r="D316" s="1502"/>
      <c r="E316" s="963" t="s">
        <v>249</v>
      </c>
      <c r="F316" s="964">
        <f t="shared" si="12"/>
        <v>0</v>
      </c>
      <c r="G316" s="964"/>
      <c r="H316" s="964"/>
      <c r="I316" s="964"/>
      <c r="J316" s="965"/>
      <c r="K316" s="938"/>
    </row>
    <row r="317" spans="1:11" s="939" customFormat="1" ht="14.1" customHeight="1">
      <c r="A317" s="1519"/>
      <c r="B317" s="1500"/>
      <c r="C317" s="1502"/>
      <c r="D317" s="1502"/>
      <c r="E317" s="963" t="s">
        <v>309</v>
      </c>
      <c r="F317" s="964">
        <f t="shared" si="12"/>
        <v>10500</v>
      </c>
      <c r="G317" s="964"/>
      <c r="H317" s="964"/>
      <c r="I317" s="964">
        <v>10500</v>
      </c>
      <c r="J317" s="965"/>
      <c r="K317" s="938"/>
    </row>
    <row r="318" spans="1:11" s="939" customFormat="1" ht="14.1" customHeight="1">
      <c r="A318" s="1519"/>
      <c r="B318" s="1500"/>
      <c r="C318" s="1502"/>
      <c r="D318" s="1502"/>
      <c r="E318" s="963" t="s">
        <v>310</v>
      </c>
      <c r="F318" s="964">
        <f t="shared" si="12"/>
        <v>3500</v>
      </c>
      <c r="G318" s="964"/>
      <c r="H318" s="964"/>
      <c r="I318" s="964">
        <v>3500</v>
      </c>
      <c r="J318" s="965"/>
      <c r="K318" s="938"/>
    </row>
    <row r="319" spans="1:11" s="939" customFormat="1" ht="14.1" customHeight="1">
      <c r="A319" s="1519"/>
      <c r="B319" s="1500"/>
      <c r="C319" s="1502"/>
      <c r="D319" s="1502"/>
      <c r="E319" s="963" t="s">
        <v>313</v>
      </c>
      <c r="F319" s="964">
        <f t="shared" si="12"/>
        <v>7500</v>
      </c>
      <c r="G319" s="964"/>
      <c r="H319" s="964"/>
      <c r="I319" s="964">
        <v>7500</v>
      </c>
      <c r="J319" s="965"/>
      <c r="K319" s="938"/>
    </row>
    <row r="320" spans="1:11" s="939" customFormat="1" ht="14.1" customHeight="1">
      <c r="A320" s="1519"/>
      <c r="B320" s="1500"/>
      <c r="C320" s="1502"/>
      <c r="D320" s="1502"/>
      <c r="E320" s="963" t="s">
        <v>314</v>
      </c>
      <c r="F320" s="964">
        <f t="shared" si="12"/>
        <v>2500</v>
      </c>
      <c r="G320" s="964"/>
      <c r="H320" s="964"/>
      <c r="I320" s="964">
        <v>2500</v>
      </c>
      <c r="J320" s="965"/>
      <c r="K320" s="938"/>
    </row>
    <row r="321" spans="1:226" s="939" customFormat="1" ht="14.1" customHeight="1">
      <c r="A321" s="1519"/>
      <c r="B321" s="1500"/>
      <c r="C321" s="1502"/>
      <c r="D321" s="1502"/>
      <c r="E321" s="963" t="s">
        <v>317</v>
      </c>
      <c r="F321" s="964">
        <f t="shared" si="12"/>
        <v>9000</v>
      </c>
      <c r="G321" s="964"/>
      <c r="H321" s="964"/>
      <c r="I321" s="964">
        <v>9000</v>
      </c>
      <c r="J321" s="965"/>
      <c r="K321" s="938"/>
    </row>
    <row r="322" spans="1:226" s="939" customFormat="1" ht="14.1" customHeight="1">
      <c r="A322" s="1519"/>
      <c r="B322" s="1500"/>
      <c r="C322" s="1502"/>
      <c r="D322" s="1502"/>
      <c r="E322" s="963" t="s">
        <v>318</v>
      </c>
      <c r="F322" s="964">
        <f t="shared" si="12"/>
        <v>19000</v>
      </c>
      <c r="G322" s="964"/>
      <c r="H322" s="964"/>
      <c r="I322" s="964">
        <v>19000</v>
      </c>
      <c r="J322" s="965"/>
      <c r="K322" s="938"/>
    </row>
    <row r="323" spans="1:226" s="939" customFormat="1" ht="20.100000000000001" customHeight="1">
      <c r="A323" s="1519"/>
      <c r="B323" s="1500"/>
      <c r="C323" s="1502"/>
      <c r="D323" s="1502"/>
      <c r="E323" s="966" t="s">
        <v>939</v>
      </c>
      <c r="F323" s="958">
        <f>SUM(F324:F326)</f>
        <v>0</v>
      </c>
      <c r="G323" s="958">
        <f>SUM(G324:G326)</f>
        <v>0</v>
      </c>
      <c r="H323" s="958">
        <f>SUM(H324:H326)</f>
        <v>0</v>
      </c>
      <c r="I323" s="958">
        <f>SUM(I324:I326)</f>
        <v>0</v>
      </c>
      <c r="J323" s="959">
        <f>SUM(J324:J326)</f>
        <v>0</v>
      </c>
      <c r="K323" s="938"/>
    </row>
    <row r="324" spans="1:226" s="939" customFormat="1" ht="24.95" hidden="1" customHeight="1">
      <c r="A324" s="1519"/>
      <c r="B324" s="1500"/>
      <c r="C324" s="1502"/>
      <c r="D324" s="1502"/>
      <c r="E324" s="963" t="s">
        <v>270</v>
      </c>
      <c r="F324" s="964">
        <f>SUM(G324:J324)</f>
        <v>0</v>
      </c>
      <c r="G324" s="964"/>
      <c r="H324" s="964"/>
      <c r="I324" s="964"/>
      <c r="J324" s="965"/>
      <c r="K324" s="938"/>
    </row>
    <row r="325" spans="1:226" s="939" customFormat="1" ht="24.95" hidden="1" customHeight="1">
      <c r="A325" s="1519"/>
      <c r="B325" s="1500"/>
      <c r="C325" s="1502"/>
      <c r="D325" s="1502"/>
      <c r="E325" s="963" t="s">
        <v>319</v>
      </c>
      <c r="F325" s="964">
        <f>SUM(G325:J325)</f>
        <v>0</v>
      </c>
      <c r="G325" s="964"/>
      <c r="H325" s="964"/>
      <c r="I325" s="964"/>
      <c r="J325" s="965"/>
      <c r="K325" s="938"/>
    </row>
    <row r="326" spans="1:226" s="939" customFormat="1" ht="24.95" hidden="1" customHeight="1">
      <c r="A326" s="1519"/>
      <c r="B326" s="1500"/>
      <c r="C326" s="1502"/>
      <c r="D326" s="1502"/>
      <c r="E326" s="975">
        <v>6069</v>
      </c>
      <c r="F326" s="964">
        <f>SUM(G326:J326)</f>
        <v>0</v>
      </c>
      <c r="G326" s="964"/>
      <c r="H326" s="964"/>
      <c r="I326" s="964"/>
      <c r="J326" s="965"/>
      <c r="K326" s="938"/>
    </row>
    <row r="327" spans="1:226" s="939" customFormat="1" ht="21.95" customHeight="1">
      <c r="A327" s="1503" t="s">
        <v>980</v>
      </c>
      <c r="B327" s="1504" t="s">
        <v>981</v>
      </c>
      <c r="C327" s="1506" t="s">
        <v>358</v>
      </c>
      <c r="D327" s="1506" t="s">
        <v>360</v>
      </c>
      <c r="E327" s="954" t="s">
        <v>937</v>
      </c>
      <c r="F327" s="955">
        <f>SUM(F328,F345)</f>
        <v>131340</v>
      </c>
      <c r="G327" s="955">
        <f>SUM(G328,G345)</f>
        <v>0</v>
      </c>
      <c r="H327" s="955">
        <f>SUM(H328,H345)</f>
        <v>111639</v>
      </c>
      <c r="I327" s="955">
        <f>SUM(I328,I345)</f>
        <v>19701</v>
      </c>
      <c r="J327" s="956">
        <f>SUM(J328,J345)</f>
        <v>0</v>
      </c>
      <c r="K327" s="938"/>
    </row>
    <row r="328" spans="1:226" s="939" customFormat="1" ht="21.95" customHeight="1">
      <c r="A328" s="1507"/>
      <c r="B328" s="1509"/>
      <c r="C328" s="1513"/>
      <c r="D328" s="1513"/>
      <c r="E328" s="957" t="s">
        <v>943</v>
      </c>
      <c r="F328" s="958">
        <f>SUM(F329,F338)</f>
        <v>131340</v>
      </c>
      <c r="G328" s="958">
        <f>SUM(G329,G338)</f>
        <v>0</v>
      </c>
      <c r="H328" s="958">
        <f>SUM(H329,H338)</f>
        <v>111639</v>
      </c>
      <c r="I328" s="958">
        <f>SUM(I329,I338)</f>
        <v>19701</v>
      </c>
      <c r="J328" s="959">
        <f>SUM(J329,J338)</f>
        <v>0</v>
      </c>
      <c r="K328" s="938"/>
    </row>
    <row r="329" spans="1:226" s="939" customFormat="1" ht="21.95" customHeight="1">
      <c r="A329" s="1507"/>
      <c r="B329" s="1509"/>
      <c r="C329" s="1513"/>
      <c r="D329" s="1513"/>
      <c r="E329" s="960" t="s">
        <v>944</v>
      </c>
      <c r="F329" s="961">
        <f>SUM(F330:F337)</f>
        <v>98340</v>
      </c>
      <c r="G329" s="961">
        <f>SUM(G330:G337)</f>
        <v>0</v>
      </c>
      <c r="H329" s="961">
        <f>SUM(H330:H337)</f>
        <v>83589</v>
      </c>
      <c r="I329" s="961">
        <f>SUM(I330:I337)</f>
        <v>14751</v>
      </c>
      <c r="J329" s="962">
        <f>SUM(J330:J337)</f>
        <v>0</v>
      </c>
      <c r="K329" s="938"/>
    </row>
    <row r="330" spans="1:226" s="939" customFormat="1" ht="14.1" customHeight="1">
      <c r="A330" s="1507"/>
      <c r="B330" s="1509"/>
      <c r="C330" s="1513"/>
      <c r="D330" s="1513"/>
      <c r="E330" s="963" t="s">
        <v>362</v>
      </c>
      <c r="F330" s="964">
        <f t="shared" ref="F330:F337" si="13">SUM(G330:J330)</f>
        <v>69275</v>
      </c>
      <c r="G330" s="964"/>
      <c r="H330" s="964">
        <v>69275</v>
      </c>
      <c r="I330" s="964"/>
      <c r="J330" s="965"/>
      <c r="K330" s="938"/>
    </row>
    <row r="331" spans="1:226" s="939" customFormat="1" ht="14.1" customHeight="1">
      <c r="A331" s="1507"/>
      <c r="B331" s="1509"/>
      <c r="C331" s="1513"/>
      <c r="D331" s="1513"/>
      <c r="E331" s="963" t="s">
        <v>292</v>
      </c>
      <c r="F331" s="964">
        <f t="shared" si="13"/>
        <v>12225</v>
      </c>
      <c r="G331" s="964"/>
      <c r="H331" s="964"/>
      <c r="I331" s="964">
        <v>12225</v>
      </c>
      <c r="J331" s="965"/>
      <c r="K331" s="938"/>
    </row>
    <row r="332" spans="1:226" s="939" customFormat="1" ht="14.1" hidden="1" customHeight="1">
      <c r="A332" s="1507"/>
      <c r="B332" s="1509"/>
      <c r="C332" s="1513"/>
      <c r="D332" s="1513"/>
      <c r="E332" s="963" t="s">
        <v>423</v>
      </c>
      <c r="F332" s="964">
        <f t="shared" si="13"/>
        <v>0</v>
      </c>
      <c r="G332" s="964"/>
      <c r="H332" s="964"/>
      <c r="I332" s="964"/>
      <c r="J332" s="965"/>
      <c r="K332" s="938"/>
      <c r="L332" s="938"/>
      <c r="M332" s="938"/>
      <c r="N332" s="938"/>
      <c r="O332" s="938"/>
      <c r="P332" s="938"/>
      <c r="Q332" s="938"/>
      <c r="R332" s="938"/>
      <c r="S332" s="938"/>
      <c r="T332" s="938"/>
      <c r="U332" s="938"/>
      <c r="V332" s="938"/>
      <c r="W332" s="938"/>
      <c r="X332" s="938"/>
      <c r="Y332" s="938"/>
      <c r="Z332" s="938"/>
      <c r="AA332" s="938"/>
      <c r="AB332" s="938"/>
      <c r="AC332" s="938"/>
      <c r="AD332" s="938"/>
      <c r="AE332" s="938"/>
      <c r="AF332" s="938"/>
      <c r="AG332" s="938"/>
      <c r="AH332" s="938"/>
      <c r="AI332" s="938"/>
      <c r="AJ332" s="938"/>
      <c r="AK332" s="938"/>
      <c r="AL332" s="938"/>
      <c r="AM332" s="938"/>
      <c r="AN332" s="938"/>
      <c r="AO332" s="938"/>
      <c r="AP332" s="938"/>
      <c r="AQ332" s="938"/>
      <c r="AR332" s="938"/>
      <c r="AS332" s="938"/>
      <c r="AT332" s="938"/>
      <c r="AU332" s="938"/>
      <c r="AV332" s="938"/>
      <c r="AW332" s="938"/>
      <c r="AX332" s="938"/>
      <c r="AY332" s="938"/>
      <c r="AZ332" s="938"/>
      <c r="BA332" s="938"/>
      <c r="BB332" s="938"/>
      <c r="BC332" s="938"/>
      <c r="BD332" s="938"/>
      <c r="BE332" s="938"/>
      <c r="BF332" s="938"/>
      <c r="BG332" s="938"/>
      <c r="BH332" s="938"/>
      <c r="BI332" s="938"/>
      <c r="BJ332" s="938"/>
      <c r="BK332" s="938"/>
      <c r="BL332" s="938"/>
      <c r="BM332" s="938"/>
      <c r="BN332" s="938"/>
      <c r="BO332" s="938"/>
      <c r="BP332" s="938"/>
      <c r="BQ332" s="938"/>
      <c r="BR332" s="938"/>
      <c r="BS332" s="938"/>
      <c r="BT332" s="938"/>
      <c r="BU332" s="938"/>
      <c r="BV332" s="938"/>
      <c r="BW332" s="938"/>
      <c r="BX332" s="938"/>
      <c r="BY332" s="938"/>
      <c r="BZ332" s="938"/>
      <c r="CA332" s="938"/>
      <c r="CB332" s="938"/>
      <c r="CC332" s="938"/>
      <c r="CD332" s="938"/>
      <c r="CE332" s="938"/>
      <c r="CF332" s="938"/>
      <c r="CG332" s="938"/>
      <c r="CH332" s="938"/>
      <c r="CI332" s="938"/>
      <c r="CJ332" s="938"/>
      <c r="CK332" s="938"/>
      <c r="CL332" s="938"/>
      <c r="CM332" s="938"/>
      <c r="CN332" s="938"/>
      <c r="CO332" s="938"/>
      <c r="CP332" s="938"/>
      <c r="CQ332" s="938"/>
      <c r="CR332" s="938"/>
      <c r="CS332" s="938"/>
      <c r="CT332" s="938"/>
      <c r="CU332" s="938"/>
      <c r="CV332" s="938"/>
      <c r="CW332" s="938"/>
      <c r="CX332" s="938"/>
      <c r="CY332" s="938"/>
      <c r="CZ332" s="938"/>
      <c r="DA332" s="938"/>
      <c r="DB332" s="938"/>
      <c r="DC332" s="938"/>
      <c r="DD332" s="938"/>
      <c r="DE332" s="938"/>
      <c r="DF332" s="938"/>
      <c r="DG332" s="938"/>
      <c r="DH332" s="938"/>
      <c r="DI332" s="938"/>
      <c r="DJ332" s="938"/>
      <c r="DK332" s="938"/>
      <c r="DL332" s="938"/>
      <c r="DM332" s="938"/>
      <c r="DN332" s="938"/>
      <c r="DO332" s="938"/>
      <c r="DP332" s="938"/>
      <c r="DQ332" s="938"/>
      <c r="DR332" s="938"/>
      <c r="DS332" s="938"/>
      <c r="DT332" s="938"/>
      <c r="DU332" s="938"/>
      <c r="DV332" s="938"/>
      <c r="DW332" s="938"/>
      <c r="DX332" s="938"/>
      <c r="DY332" s="938"/>
      <c r="DZ332" s="938"/>
      <c r="EA332" s="938"/>
      <c r="EB332" s="938"/>
      <c r="EC332" s="938"/>
      <c r="ED332" s="938"/>
      <c r="EE332" s="938"/>
      <c r="EF332" s="938"/>
      <c r="EG332" s="938"/>
      <c r="EH332" s="938"/>
      <c r="EI332" s="938"/>
      <c r="EJ332" s="938"/>
      <c r="EK332" s="938"/>
      <c r="EL332" s="938"/>
      <c r="EM332" s="938"/>
      <c r="EN332" s="938"/>
      <c r="EO332" s="938"/>
      <c r="EP332" s="938"/>
      <c r="EQ332" s="938"/>
      <c r="ER332" s="938"/>
      <c r="ES332" s="938"/>
      <c r="ET332" s="938"/>
      <c r="EU332" s="938"/>
      <c r="EV332" s="938"/>
      <c r="EW332" s="938"/>
      <c r="EX332" s="938"/>
      <c r="EY332" s="938"/>
      <c r="EZ332" s="938"/>
      <c r="FA332" s="938"/>
      <c r="FB332" s="938"/>
      <c r="FC332" s="938"/>
      <c r="FD332" s="938"/>
      <c r="FE332" s="938"/>
      <c r="FF332" s="938"/>
      <c r="FG332" s="938"/>
      <c r="FH332" s="938"/>
      <c r="FI332" s="938"/>
      <c r="FJ332" s="938"/>
      <c r="FK332" s="938"/>
      <c r="FL332" s="938"/>
      <c r="FM332" s="938"/>
      <c r="FN332" s="938"/>
      <c r="FO332" s="938"/>
      <c r="FP332" s="938"/>
      <c r="FQ332" s="938"/>
      <c r="FR332" s="938"/>
      <c r="FS332" s="938"/>
      <c r="FT332" s="938"/>
      <c r="FU332" s="938"/>
      <c r="FV332" s="938"/>
      <c r="FW332" s="938"/>
      <c r="FX332" s="938"/>
      <c r="FY332" s="938"/>
      <c r="FZ332" s="938"/>
      <c r="GA332" s="938"/>
      <c r="GB332" s="938"/>
      <c r="GC332" s="938"/>
      <c r="GD332" s="938"/>
      <c r="GE332" s="938"/>
      <c r="GF332" s="938"/>
      <c r="GG332" s="938"/>
      <c r="GH332" s="938"/>
      <c r="GI332" s="938"/>
      <c r="GJ332" s="938"/>
      <c r="GK332" s="938"/>
      <c r="GL332" s="938"/>
      <c r="GM332" s="938"/>
      <c r="GN332" s="938"/>
      <c r="GO332" s="938"/>
      <c r="GP332" s="938"/>
      <c r="GQ332" s="938"/>
      <c r="GR332" s="938"/>
      <c r="GS332" s="938"/>
      <c r="GT332" s="938"/>
      <c r="GU332" s="938"/>
      <c r="GV332" s="938"/>
      <c r="GW332" s="938"/>
      <c r="GX332" s="938"/>
      <c r="GY332" s="938"/>
      <c r="GZ332" s="938"/>
      <c r="HA332" s="938"/>
      <c r="HB332" s="938"/>
      <c r="HC332" s="938"/>
      <c r="HD332" s="938"/>
      <c r="HE332" s="938"/>
      <c r="HF332" s="938"/>
      <c r="HG332" s="938"/>
      <c r="HH332" s="938"/>
      <c r="HI332" s="938"/>
      <c r="HJ332" s="938"/>
      <c r="HK332" s="938"/>
      <c r="HL332" s="938"/>
      <c r="HM332" s="938"/>
      <c r="HN332" s="938"/>
      <c r="HO332" s="938"/>
      <c r="HP332" s="938"/>
      <c r="HQ332" s="938"/>
      <c r="HR332" s="938"/>
    </row>
    <row r="333" spans="1:226" s="939" customFormat="1" ht="14.1" hidden="1" customHeight="1">
      <c r="A333" s="1507"/>
      <c r="B333" s="1509"/>
      <c r="C333" s="1513"/>
      <c r="D333" s="1513"/>
      <c r="E333" s="963" t="s">
        <v>294</v>
      </c>
      <c r="F333" s="964">
        <f t="shared" si="13"/>
        <v>0</v>
      </c>
      <c r="G333" s="964"/>
      <c r="H333" s="964"/>
      <c r="I333" s="964"/>
      <c r="J333" s="965"/>
      <c r="K333" s="938"/>
    </row>
    <row r="334" spans="1:226" s="939" customFormat="1" ht="14.1" customHeight="1">
      <c r="A334" s="1507"/>
      <c r="B334" s="1509"/>
      <c r="C334" s="1513"/>
      <c r="D334" s="1513"/>
      <c r="E334" s="963" t="s">
        <v>363</v>
      </c>
      <c r="F334" s="964">
        <f t="shared" si="13"/>
        <v>11815</v>
      </c>
      <c r="G334" s="964"/>
      <c r="H334" s="964">
        <v>11815</v>
      </c>
      <c r="I334" s="964"/>
      <c r="J334" s="965"/>
      <c r="K334" s="938"/>
    </row>
    <row r="335" spans="1:226" s="939" customFormat="1" ht="14.1" customHeight="1">
      <c r="A335" s="1507"/>
      <c r="B335" s="1509"/>
      <c r="C335" s="1513"/>
      <c r="D335" s="1513"/>
      <c r="E335" s="963" t="s">
        <v>296</v>
      </c>
      <c r="F335" s="964">
        <f t="shared" si="13"/>
        <v>2085</v>
      </c>
      <c r="G335" s="964"/>
      <c r="H335" s="964"/>
      <c r="I335" s="964">
        <v>2085</v>
      </c>
      <c r="J335" s="965"/>
      <c r="K335" s="938"/>
    </row>
    <row r="336" spans="1:226" s="939" customFormat="1" ht="14.1" customHeight="1">
      <c r="A336" s="1507"/>
      <c r="B336" s="1509"/>
      <c r="C336" s="1513"/>
      <c r="D336" s="1513"/>
      <c r="E336" s="963" t="s">
        <v>364</v>
      </c>
      <c r="F336" s="964">
        <f t="shared" si="13"/>
        <v>2499</v>
      </c>
      <c r="G336" s="964"/>
      <c r="H336" s="964">
        <v>2499</v>
      </c>
      <c r="I336" s="964"/>
      <c r="J336" s="965"/>
      <c r="K336" s="938"/>
    </row>
    <row r="337" spans="1:226" s="939" customFormat="1" ht="14.1" customHeight="1">
      <c r="A337" s="1507"/>
      <c r="B337" s="1509"/>
      <c r="C337" s="1513"/>
      <c r="D337" s="1513"/>
      <c r="E337" s="963" t="s">
        <v>298</v>
      </c>
      <c r="F337" s="964">
        <f t="shared" si="13"/>
        <v>441</v>
      </c>
      <c r="G337" s="964"/>
      <c r="H337" s="964"/>
      <c r="I337" s="964">
        <v>441</v>
      </c>
      <c r="J337" s="965"/>
      <c r="K337" s="938"/>
    </row>
    <row r="338" spans="1:226" s="939" customFormat="1" ht="21.95" customHeight="1">
      <c r="A338" s="1507"/>
      <c r="B338" s="1509"/>
      <c r="C338" s="1513"/>
      <c r="D338" s="1513"/>
      <c r="E338" s="960" t="s">
        <v>945</v>
      </c>
      <c r="F338" s="961">
        <f>SUM(F339:F344)</f>
        <v>33000</v>
      </c>
      <c r="G338" s="961">
        <f>SUM(G339:G344)</f>
        <v>0</v>
      </c>
      <c r="H338" s="961">
        <f>SUM(H339:H344)</f>
        <v>28050</v>
      </c>
      <c r="I338" s="961">
        <f>SUM(I339:I344)</f>
        <v>4950</v>
      </c>
      <c r="J338" s="962">
        <f>SUM(J339:J344)</f>
        <v>0</v>
      </c>
      <c r="K338" s="938"/>
    </row>
    <row r="339" spans="1:226" s="939" customFormat="1" ht="14.1" customHeight="1">
      <c r="A339" s="1507"/>
      <c r="B339" s="1509"/>
      <c r="C339" s="1513"/>
      <c r="D339" s="1513"/>
      <c r="E339" s="963" t="s">
        <v>365</v>
      </c>
      <c r="F339" s="964">
        <f t="shared" ref="F339:F344" si="14">SUM(G339:J339)</f>
        <v>2550</v>
      </c>
      <c r="G339" s="964"/>
      <c r="H339" s="964">
        <v>2550</v>
      </c>
      <c r="I339" s="964"/>
      <c r="J339" s="965"/>
      <c r="K339" s="938"/>
    </row>
    <row r="340" spans="1:226" s="939" customFormat="1" ht="14.1" customHeight="1">
      <c r="A340" s="1507"/>
      <c r="B340" s="1509"/>
      <c r="C340" s="1513"/>
      <c r="D340" s="1513"/>
      <c r="E340" s="963" t="s">
        <v>302</v>
      </c>
      <c r="F340" s="964">
        <f t="shared" si="14"/>
        <v>450</v>
      </c>
      <c r="G340" s="964"/>
      <c r="H340" s="964"/>
      <c r="I340" s="964">
        <v>450</v>
      </c>
      <c r="J340" s="965"/>
      <c r="K340" s="938"/>
    </row>
    <row r="341" spans="1:226" s="939" customFormat="1" ht="14.1" customHeight="1">
      <c r="A341" s="1507"/>
      <c r="B341" s="1509"/>
      <c r="C341" s="1513"/>
      <c r="D341" s="1513"/>
      <c r="E341" s="963" t="s">
        <v>366</v>
      </c>
      <c r="F341" s="964">
        <f t="shared" si="14"/>
        <v>25500</v>
      </c>
      <c r="G341" s="964"/>
      <c r="H341" s="964">
        <v>25500</v>
      </c>
      <c r="I341" s="964"/>
      <c r="J341" s="965"/>
      <c r="K341" s="938"/>
    </row>
    <row r="342" spans="1:226" s="939" customFormat="1" ht="14.1" customHeight="1">
      <c r="A342" s="1507"/>
      <c r="B342" s="1509"/>
      <c r="C342" s="1513"/>
      <c r="D342" s="1513"/>
      <c r="E342" s="963" t="s">
        <v>304</v>
      </c>
      <c r="F342" s="964">
        <f t="shared" si="14"/>
        <v>4500</v>
      </c>
      <c r="G342" s="964"/>
      <c r="H342" s="964"/>
      <c r="I342" s="964">
        <v>4500</v>
      </c>
      <c r="J342" s="965"/>
      <c r="K342" s="938"/>
    </row>
    <row r="343" spans="1:226" s="939" customFormat="1" ht="15" hidden="1" customHeight="1">
      <c r="A343" s="1507"/>
      <c r="B343" s="1509"/>
      <c r="C343" s="1513"/>
      <c r="D343" s="1513"/>
      <c r="E343" s="963"/>
      <c r="F343" s="964">
        <f t="shared" si="14"/>
        <v>0</v>
      </c>
      <c r="G343" s="964"/>
      <c r="H343" s="964"/>
      <c r="I343" s="964"/>
      <c r="J343" s="965"/>
      <c r="K343" s="938"/>
    </row>
    <row r="344" spans="1:226" s="939" customFormat="1" ht="15" hidden="1" customHeight="1">
      <c r="A344" s="1507"/>
      <c r="B344" s="1509"/>
      <c r="C344" s="1513"/>
      <c r="D344" s="1513"/>
      <c r="E344" s="963"/>
      <c r="F344" s="964">
        <f t="shared" si="14"/>
        <v>0</v>
      </c>
      <c r="G344" s="964"/>
      <c r="H344" s="964"/>
      <c r="I344" s="964"/>
      <c r="J344" s="965"/>
      <c r="K344" s="938"/>
    </row>
    <row r="345" spans="1:226" s="939" customFormat="1" ht="20.100000000000001" customHeight="1" thickBot="1">
      <c r="A345" s="1508"/>
      <c r="B345" s="1510"/>
      <c r="C345" s="1514"/>
      <c r="D345" s="1514"/>
      <c r="E345" s="966" t="s">
        <v>939</v>
      </c>
      <c r="F345" s="958">
        <f>SUM(F346:F347)</f>
        <v>0</v>
      </c>
      <c r="G345" s="958">
        <f>SUM(G346:G347)</f>
        <v>0</v>
      </c>
      <c r="H345" s="958">
        <f>SUM(H346:H347)</f>
        <v>0</v>
      </c>
      <c r="I345" s="958">
        <f>SUM(I346:I347)</f>
        <v>0</v>
      </c>
      <c r="J345" s="959">
        <f>SUM(J346:J347)</f>
        <v>0</v>
      </c>
      <c r="K345" s="938"/>
      <c r="L345" s="938"/>
      <c r="M345" s="938"/>
      <c r="N345" s="938"/>
      <c r="O345" s="938"/>
      <c r="P345" s="938"/>
      <c r="Q345" s="938"/>
      <c r="R345" s="938"/>
      <c r="S345" s="938"/>
      <c r="T345" s="938"/>
      <c r="U345" s="938"/>
      <c r="V345" s="938"/>
      <c r="W345" s="938"/>
      <c r="X345" s="938"/>
      <c r="Y345" s="938"/>
      <c r="Z345" s="938"/>
      <c r="AA345" s="938"/>
      <c r="AB345" s="938"/>
      <c r="AC345" s="938"/>
      <c r="AD345" s="938"/>
      <c r="AE345" s="938"/>
      <c r="AF345" s="938"/>
      <c r="AG345" s="938"/>
      <c r="AH345" s="938"/>
      <c r="AI345" s="938"/>
      <c r="AJ345" s="938"/>
      <c r="AK345" s="938"/>
      <c r="AL345" s="938"/>
      <c r="AM345" s="938"/>
      <c r="AN345" s="938"/>
      <c r="AO345" s="938"/>
      <c r="AP345" s="938"/>
      <c r="AQ345" s="938"/>
      <c r="AR345" s="938"/>
      <c r="AS345" s="938"/>
      <c r="AT345" s="938"/>
      <c r="AU345" s="938"/>
      <c r="AV345" s="938"/>
      <c r="AW345" s="938"/>
      <c r="AX345" s="938"/>
      <c r="AY345" s="938"/>
      <c r="AZ345" s="938"/>
      <c r="BA345" s="938"/>
      <c r="BB345" s="938"/>
      <c r="BC345" s="938"/>
      <c r="BD345" s="938"/>
      <c r="BE345" s="938"/>
      <c r="BF345" s="938"/>
      <c r="BG345" s="938"/>
      <c r="BH345" s="938"/>
      <c r="BI345" s="938"/>
      <c r="BJ345" s="938"/>
      <c r="BK345" s="938"/>
      <c r="BL345" s="938"/>
      <c r="BM345" s="938"/>
      <c r="BN345" s="938"/>
      <c r="BO345" s="938"/>
      <c r="BP345" s="938"/>
      <c r="BQ345" s="938"/>
      <c r="BR345" s="938"/>
      <c r="BS345" s="938"/>
      <c r="BT345" s="938"/>
      <c r="BU345" s="938"/>
      <c r="BV345" s="938"/>
      <c r="BW345" s="938"/>
      <c r="BX345" s="938"/>
      <c r="BY345" s="938"/>
      <c r="BZ345" s="938"/>
      <c r="CA345" s="938"/>
      <c r="CB345" s="938"/>
      <c r="CC345" s="938"/>
      <c r="CD345" s="938"/>
      <c r="CE345" s="938"/>
      <c r="CF345" s="938"/>
      <c r="CG345" s="938"/>
      <c r="CH345" s="938"/>
      <c r="CI345" s="938"/>
      <c r="CJ345" s="938"/>
      <c r="CK345" s="938"/>
      <c r="CL345" s="938"/>
      <c r="CM345" s="938"/>
      <c r="CN345" s="938"/>
      <c r="CO345" s="938"/>
      <c r="CP345" s="938"/>
      <c r="CQ345" s="938"/>
      <c r="CR345" s="938"/>
      <c r="CS345" s="938"/>
      <c r="CT345" s="938"/>
      <c r="CU345" s="938"/>
      <c r="CV345" s="938"/>
      <c r="CW345" s="938"/>
      <c r="CX345" s="938"/>
      <c r="CY345" s="938"/>
      <c r="CZ345" s="938"/>
      <c r="DA345" s="938"/>
      <c r="DB345" s="938"/>
      <c r="DC345" s="938"/>
      <c r="DD345" s="938"/>
      <c r="DE345" s="938"/>
      <c r="DF345" s="938"/>
      <c r="DG345" s="938"/>
      <c r="DH345" s="938"/>
      <c r="DI345" s="938"/>
      <c r="DJ345" s="938"/>
      <c r="DK345" s="938"/>
      <c r="DL345" s="938"/>
      <c r="DM345" s="938"/>
      <c r="DN345" s="938"/>
      <c r="DO345" s="938"/>
      <c r="DP345" s="938"/>
      <c r="DQ345" s="938"/>
      <c r="DR345" s="938"/>
      <c r="DS345" s="938"/>
      <c r="DT345" s="938"/>
      <c r="DU345" s="938"/>
      <c r="DV345" s="938"/>
      <c r="DW345" s="938"/>
      <c r="DX345" s="938"/>
      <c r="DY345" s="938"/>
      <c r="DZ345" s="938"/>
      <c r="EA345" s="938"/>
      <c r="EB345" s="938"/>
      <c r="EC345" s="938"/>
      <c r="ED345" s="938"/>
      <c r="EE345" s="938"/>
      <c r="EF345" s="938"/>
      <c r="EG345" s="938"/>
      <c r="EH345" s="938"/>
      <c r="EI345" s="938"/>
      <c r="EJ345" s="938"/>
      <c r="EK345" s="938"/>
      <c r="EL345" s="938"/>
      <c r="EM345" s="938"/>
      <c r="EN345" s="938"/>
      <c r="EO345" s="938"/>
      <c r="EP345" s="938"/>
      <c r="EQ345" s="938"/>
      <c r="ER345" s="938"/>
      <c r="ES345" s="938"/>
      <c r="ET345" s="938"/>
      <c r="EU345" s="938"/>
      <c r="EV345" s="938"/>
      <c r="EW345" s="938"/>
      <c r="EX345" s="938"/>
      <c r="EY345" s="938"/>
      <c r="EZ345" s="938"/>
      <c r="FA345" s="938"/>
      <c r="FB345" s="938"/>
      <c r="FC345" s="938"/>
      <c r="FD345" s="938"/>
      <c r="FE345" s="938"/>
      <c r="FF345" s="938"/>
      <c r="FG345" s="938"/>
      <c r="FH345" s="938"/>
      <c r="FI345" s="938"/>
      <c r="FJ345" s="938"/>
      <c r="FK345" s="938"/>
      <c r="FL345" s="938"/>
      <c r="FM345" s="938"/>
      <c r="FN345" s="938"/>
      <c r="FO345" s="938"/>
      <c r="FP345" s="938"/>
      <c r="FQ345" s="938"/>
      <c r="FR345" s="938"/>
      <c r="FS345" s="938"/>
      <c r="FT345" s="938"/>
      <c r="FU345" s="938"/>
      <c r="FV345" s="938"/>
      <c r="FW345" s="938"/>
      <c r="FX345" s="938"/>
      <c r="FY345" s="938"/>
      <c r="FZ345" s="938"/>
      <c r="GA345" s="938"/>
      <c r="GB345" s="938"/>
      <c r="GC345" s="938"/>
      <c r="GD345" s="938"/>
      <c r="GE345" s="938"/>
      <c r="GF345" s="938"/>
      <c r="GG345" s="938"/>
      <c r="GH345" s="938"/>
      <c r="GI345" s="938"/>
      <c r="GJ345" s="938"/>
      <c r="GK345" s="938"/>
      <c r="GL345" s="938"/>
      <c r="GM345" s="938"/>
      <c r="GN345" s="938"/>
      <c r="GO345" s="938"/>
      <c r="GP345" s="938"/>
      <c r="GQ345" s="938"/>
      <c r="GR345" s="938"/>
      <c r="GS345" s="938"/>
      <c r="GT345" s="938"/>
      <c r="GU345" s="938"/>
      <c r="GV345" s="938"/>
      <c r="GW345" s="938"/>
      <c r="GX345" s="938"/>
      <c r="GY345" s="938"/>
      <c r="GZ345" s="938"/>
      <c r="HA345" s="938"/>
      <c r="HB345" s="938"/>
      <c r="HC345" s="938"/>
      <c r="HD345" s="938"/>
      <c r="HE345" s="938"/>
      <c r="HF345" s="938"/>
      <c r="HG345" s="938"/>
      <c r="HH345" s="938"/>
      <c r="HI345" s="938"/>
      <c r="HJ345" s="938"/>
      <c r="HK345" s="938"/>
      <c r="HL345" s="938"/>
      <c r="HM345" s="938"/>
      <c r="HN345" s="938"/>
      <c r="HO345" s="938"/>
      <c r="HP345" s="938"/>
      <c r="HQ345" s="938"/>
      <c r="HR345" s="938"/>
    </row>
    <row r="346" spans="1:226" s="939" customFormat="1" ht="24.95" hidden="1" customHeight="1">
      <c r="A346" s="967"/>
      <c r="B346" s="968"/>
      <c r="C346" s="970"/>
      <c r="D346" s="970"/>
      <c r="E346" s="963"/>
      <c r="F346" s="964">
        <f>SUM(G346:J346)</f>
        <v>0</v>
      </c>
      <c r="G346" s="964"/>
      <c r="H346" s="964"/>
      <c r="I346" s="964"/>
      <c r="J346" s="965"/>
      <c r="K346" s="938"/>
    </row>
    <row r="347" spans="1:226" s="939" customFormat="1" ht="24.95" hidden="1" customHeight="1">
      <c r="A347" s="967"/>
      <c r="B347" s="968"/>
      <c r="C347" s="970"/>
      <c r="D347" s="970"/>
      <c r="E347" s="977"/>
      <c r="F347" s="978">
        <f>SUM(G347:J347)</f>
        <v>0</v>
      </c>
      <c r="G347" s="978"/>
      <c r="H347" s="978"/>
      <c r="I347" s="978"/>
      <c r="J347" s="979"/>
      <c r="K347" s="938"/>
    </row>
    <row r="348" spans="1:226" s="939" customFormat="1" ht="24.95" customHeight="1" thickBot="1">
      <c r="A348" s="931" t="s">
        <v>982</v>
      </c>
      <c r="B348" s="1515" t="s">
        <v>983</v>
      </c>
      <c r="C348" s="1515"/>
      <c r="D348" s="1515"/>
      <c r="E348" s="1515"/>
      <c r="F348" s="980">
        <f>F350+F364+F378+F392</f>
        <v>116621331</v>
      </c>
      <c r="G348" s="980">
        <f t="shared" ref="G348:J348" si="15">G350+G364+G378+G392</f>
        <v>34050083</v>
      </c>
      <c r="H348" s="980">
        <f t="shared" si="15"/>
        <v>73527338</v>
      </c>
      <c r="I348" s="980">
        <f t="shared" si="15"/>
        <v>9043910</v>
      </c>
      <c r="J348" s="981">
        <f t="shared" si="15"/>
        <v>0</v>
      </c>
      <c r="K348" s="938"/>
      <c r="L348" s="938"/>
      <c r="M348" s="938"/>
      <c r="N348" s="938"/>
      <c r="O348" s="938"/>
      <c r="P348" s="938"/>
      <c r="Q348" s="938"/>
      <c r="R348" s="938"/>
      <c r="S348" s="938"/>
      <c r="T348" s="938"/>
      <c r="U348" s="938"/>
      <c r="V348" s="938"/>
      <c r="W348" s="938"/>
      <c r="X348" s="938"/>
      <c r="Y348" s="938"/>
      <c r="Z348" s="938"/>
      <c r="AA348" s="938"/>
      <c r="AB348" s="938"/>
      <c r="AC348" s="938"/>
      <c r="AD348" s="938"/>
      <c r="AE348" s="938"/>
      <c r="AF348" s="938"/>
      <c r="AG348" s="938"/>
      <c r="AH348" s="938"/>
      <c r="AI348" s="938"/>
      <c r="AJ348" s="938"/>
      <c r="AK348" s="938"/>
      <c r="AL348" s="938"/>
      <c r="AM348" s="938"/>
      <c r="AN348" s="938"/>
      <c r="AO348" s="938"/>
      <c r="AP348" s="938"/>
      <c r="AQ348" s="938"/>
      <c r="AR348" s="938"/>
      <c r="AS348" s="938"/>
      <c r="AT348" s="938"/>
      <c r="AU348" s="938"/>
      <c r="AV348" s="938"/>
      <c r="AW348" s="938"/>
      <c r="AX348" s="938"/>
      <c r="AY348" s="938"/>
      <c r="AZ348" s="938"/>
      <c r="BA348" s="938"/>
      <c r="BB348" s="938"/>
      <c r="BC348" s="938"/>
      <c r="BD348" s="938"/>
      <c r="BE348" s="938"/>
      <c r="BF348" s="938"/>
      <c r="BG348" s="938"/>
      <c r="BH348" s="938"/>
      <c r="BI348" s="938"/>
      <c r="BJ348" s="938"/>
      <c r="BK348" s="938"/>
      <c r="BL348" s="938"/>
      <c r="BM348" s="938"/>
      <c r="BN348" s="938"/>
      <c r="BO348" s="938"/>
      <c r="BP348" s="938"/>
      <c r="BQ348" s="938"/>
      <c r="BR348" s="938"/>
      <c r="BS348" s="938"/>
      <c r="BT348" s="938"/>
      <c r="BU348" s="938"/>
      <c r="BV348" s="938"/>
      <c r="BW348" s="938"/>
      <c r="BX348" s="938"/>
      <c r="BY348" s="938"/>
      <c r="BZ348" s="938"/>
      <c r="CA348" s="938"/>
      <c r="CB348" s="938"/>
      <c r="CC348" s="938"/>
      <c r="CD348" s="938"/>
      <c r="CE348" s="938"/>
      <c r="CF348" s="938"/>
      <c r="CG348" s="938"/>
      <c r="CH348" s="938"/>
      <c r="CI348" s="938"/>
      <c r="CJ348" s="938"/>
      <c r="CK348" s="938"/>
      <c r="CL348" s="938"/>
      <c r="CM348" s="938"/>
      <c r="CN348" s="938"/>
      <c r="CO348" s="938"/>
      <c r="CP348" s="938"/>
      <c r="CQ348" s="938"/>
      <c r="CR348" s="938"/>
      <c r="CS348" s="938"/>
      <c r="CT348" s="938"/>
      <c r="CU348" s="938"/>
      <c r="CV348" s="938"/>
      <c r="CW348" s="938"/>
      <c r="CX348" s="938"/>
      <c r="CY348" s="938"/>
      <c r="CZ348" s="938"/>
      <c r="DA348" s="938"/>
      <c r="DB348" s="938"/>
      <c r="DC348" s="938"/>
      <c r="DD348" s="938"/>
      <c r="DE348" s="938"/>
      <c r="DF348" s="938"/>
      <c r="DG348" s="938"/>
      <c r="DH348" s="938"/>
      <c r="DI348" s="938"/>
      <c r="DJ348" s="938"/>
      <c r="DK348" s="938"/>
      <c r="DL348" s="938"/>
      <c r="DM348" s="938"/>
      <c r="DN348" s="938"/>
      <c r="DO348" s="938"/>
      <c r="DP348" s="938"/>
      <c r="DQ348" s="938"/>
      <c r="DR348" s="938"/>
      <c r="DS348" s="938"/>
      <c r="DT348" s="938"/>
      <c r="DU348" s="938"/>
      <c r="DV348" s="938"/>
      <c r="DW348" s="938"/>
      <c r="DX348" s="938"/>
      <c r="DY348" s="938"/>
      <c r="DZ348" s="938"/>
      <c r="EA348" s="938"/>
      <c r="EB348" s="938"/>
      <c r="EC348" s="938"/>
      <c r="ED348" s="938"/>
      <c r="EE348" s="938"/>
      <c r="EF348" s="938"/>
      <c r="EG348" s="938"/>
      <c r="EH348" s="938"/>
      <c r="EI348" s="938"/>
      <c r="EJ348" s="938"/>
      <c r="EK348" s="938"/>
      <c r="EL348" s="938"/>
      <c r="EM348" s="938"/>
      <c r="EN348" s="938"/>
      <c r="EO348" s="938"/>
      <c r="EP348" s="938"/>
      <c r="EQ348" s="938"/>
      <c r="ER348" s="938"/>
      <c r="ES348" s="938"/>
      <c r="ET348" s="938"/>
      <c r="EU348" s="938"/>
      <c r="EV348" s="938"/>
      <c r="EW348" s="938"/>
      <c r="EX348" s="938"/>
      <c r="EY348" s="938"/>
      <c r="EZ348" s="938"/>
      <c r="FA348" s="938"/>
      <c r="FB348" s="938"/>
      <c r="FC348" s="938"/>
      <c r="FD348" s="938"/>
      <c r="FE348" s="938"/>
      <c r="FF348" s="938"/>
      <c r="FG348" s="938"/>
      <c r="FH348" s="938"/>
      <c r="FI348" s="938"/>
      <c r="FJ348" s="938"/>
      <c r="FK348" s="938"/>
      <c r="FL348" s="938"/>
      <c r="FM348" s="938"/>
      <c r="FN348" s="938"/>
      <c r="FO348" s="938"/>
      <c r="FP348" s="938"/>
      <c r="FQ348" s="938"/>
      <c r="FR348" s="938"/>
      <c r="FS348" s="938"/>
      <c r="FT348" s="938"/>
      <c r="FU348" s="938"/>
      <c r="FV348" s="938"/>
      <c r="FW348" s="938"/>
      <c r="FX348" s="938"/>
      <c r="FY348" s="938"/>
      <c r="FZ348" s="938"/>
      <c r="GA348" s="938"/>
      <c r="GB348" s="938"/>
      <c r="GC348" s="938"/>
      <c r="GD348" s="938"/>
      <c r="GE348" s="938"/>
      <c r="GF348" s="938"/>
      <c r="GG348" s="938"/>
      <c r="GH348" s="938"/>
      <c r="GI348" s="938"/>
      <c r="GJ348" s="938"/>
      <c r="GK348" s="938"/>
      <c r="GL348" s="938"/>
      <c r="GM348" s="938"/>
      <c r="GN348" s="938"/>
      <c r="GO348" s="938"/>
      <c r="GP348" s="938"/>
      <c r="GQ348" s="938"/>
      <c r="GR348" s="938"/>
      <c r="GS348" s="938"/>
      <c r="GT348" s="938"/>
      <c r="GU348" s="938"/>
      <c r="GV348" s="938"/>
      <c r="GW348" s="938"/>
      <c r="GX348" s="938"/>
      <c r="GY348" s="938"/>
      <c r="GZ348" s="938"/>
      <c r="HA348" s="938"/>
      <c r="HB348" s="938"/>
      <c r="HC348" s="938"/>
      <c r="HD348" s="938"/>
      <c r="HE348" s="938"/>
      <c r="HF348" s="938"/>
      <c r="HG348" s="938"/>
      <c r="HH348" s="938"/>
      <c r="HI348" s="938"/>
      <c r="HJ348" s="938"/>
      <c r="HK348" s="938"/>
      <c r="HL348" s="938"/>
      <c r="HM348" s="938"/>
      <c r="HN348" s="938"/>
      <c r="HO348" s="938"/>
      <c r="HP348" s="938"/>
      <c r="HQ348" s="938"/>
      <c r="HR348" s="938"/>
    </row>
    <row r="349" spans="1:226" s="939" customFormat="1">
      <c r="A349" s="1516"/>
      <c r="B349" s="1517"/>
      <c r="C349" s="1517"/>
      <c r="D349" s="1517"/>
      <c r="E349" s="1517"/>
      <c r="F349" s="1517"/>
      <c r="G349" s="1517"/>
      <c r="H349" s="1517"/>
      <c r="I349" s="1517"/>
      <c r="J349" s="1518"/>
      <c r="K349" s="938"/>
    </row>
    <row r="350" spans="1:226" s="939" customFormat="1" ht="24.95" customHeight="1">
      <c r="A350" s="1499" t="s">
        <v>935</v>
      </c>
      <c r="B350" s="1500" t="s">
        <v>984</v>
      </c>
      <c r="C350" s="1501">
        <v>600</v>
      </c>
      <c r="D350" s="1502" t="s">
        <v>377</v>
      </c>
      <c r="E350" s="954" t="s">
        <v>937</v>
      </c>
      <c r="F350" s="955">
        <f>SUM(F351,F358)</f>
        <v>25000000</v>
      </c>
      <c r="G350" s="955">
        <f>SUM(G351,G358)</f>
        <v>25000000</v>
      </c>
      <c r="H350" s="955">
        <f>SUM(H351,H358)</f>
        <v>0</v>
      </c>
      <c r="I350" s="955">
        <f>SUM(I351,I358)</f>
        <v>0</v>
      </c>
      <c r="J350" s="937">
        <f>SUM(J351,J358)</f>
        <v>0</v>
      </c>
      <c r="K350" s="938"/>
    </row>
    <row r="351" spans="1:226" s="939" customFormat="1" ht="24.95" customHeight="1">
      <c r="A351" s="1499"/>
      <c r="B351" s="1500"/>
      <c r="C351" s="1501"/>
      <c r="D351" s="1502"/>
      <c r="E351" s="957" t="s">
        <v>440</v>
      </c>
      <c r="F351" s="958">
        <f>SUM(F352,F355)</f>
        <v>0</v>
      </c>
      <c r="G351" s="958">
        <f>SUM(G352,G355)</f>
        <v>0</v>
      </c>
      <c r="H351" s="958">
        <f>SUM(H352,H355)</f>
        <v>0</v>
      </c>
      <c r="I351" s="958">
        <f>SUM(I352,I355)</f>
        <v>0</v>
      </c>
      <c r="J351" s="942">
        <f>SUM(J352,J355)</f>
        <v>0</v>
      </c>
      <c r="K351" s="938"/>
    </row>
    <row r="352" spans="1:226" s="939" customFormat="1" ht="24.95" hidden="1" customHeight="1">
      <c r="A352" s="1499"/>
      <c r="B352" s="1500"/>
      <c r="C352" s="1501"/>
      <c r="D352" s="1502"/>
      <c r="E352" s="960" t="s">
        <v>944</v>
      </c>
      <c r="F352" s="961">
        <f>SUM(F353:F354)</f>
        <v>0</v>
      </c>
      <c r="G352" s="961">
        <f>SUM(G353:G354)</f>
        <v>0</v>
      </c>
      <c r="H352" s="961">
        <f>SUM(H353:H354)</f>
        <v>0</v>
      </c>
      <c r="I352" s="961">
        <f>SUM(I353:I354)</f>
        <v>0</v>
      </c>
      <c r="J352" s="951">
        <f>SUM(J353:J354)</f>
        <v>0</v>
      </c>
      <c r="K352" s="938"/>
    </row>
    <row r="353" spans="1:226" s="939" customFormat="1" ht="24.95" hidden="1" customHeight="1">
      <c r="A353" s="1499"/>
      <c r="B353" s="1500"/>
      <c r="C353" s="1501"/>
      <c r="D353" s="1502"/>
      <c r="E353" s="963"/>
      <c r="F353" s="964">
        <f>SUM(G353:J353)</f>
        <v>0</v>
      </c>
      <c r="G353" s="964"/>
      <c r="H353" s="964"/>
      <c r="I353" s="964"/>
      <c r="J353" s="946"/>
      <c r="K353" s="938"/>
    </row>
    <row r="354" spans="1:226" s="939" customFormat="1" ht="24.95" hidden="1" customHeight="1">
      <c r="A354" s="1499"/>
      <c r="B354" s="1500"/>
      <c r="C354" s="1501"/>
      <c r="D354" s="1502"/>
      <c r="E354" s="963"/>
      <c r="F354" s="964">
        <f>SUM(G354:J354)</f>
        <v>0</v>
      </c>
      <c r="G354" s="964"/>
      <c r="H354" s="964"/>
      <c r="I354" s="964"/>
      <c r="J354" s="946"/>
      <c r="K354" s="938"/>
    </row>
    <row r="355" spans="1:226" s="939" customFormat="1" ht="24.95" hidden="1" customHeight="1">
      <c r="A355" s="1499"/>
      <c r="B355" s="1500"/>
      <c r="C355" s="1501"/>
      <c r="D355" s="1502"/>
      <c r="E355" s="960" t="s">
        <v>945</v>
      </c>
      <c r="F355" s="961">
        <f>SUM(F356:F357)</f>
        <v>0</v>
      </c>
      <c r="G355" s="961">
        <f>SUM(G356:G357)</f>
        <v>0</v>
      </c>
      <c r="H355" s="961">
        <f>SUM(H356:H357)</f>
        <v>0</v>
      </c>
      <c r="I355" s="961">
        <f>SUM(I356:I357)</f>
        <v>0</v>
      </c>
      <c r="J355" s="951">
        <f>SUM(J356:J357)</f>
        <v>0</v>
      </c>
      <c r="K355" s="938"/>
    </row>
    <row r="356" spans="1:226" s="939" customFormat="1" ht="24.95" hidden="1" customHeight="1">
      <c r="A356" s="1499"/>
      <c r="B356" s="1500"/>
      <c r="C356" s="1501"/>
      <c r="D356" s="1502"/>
      <c r="E356" s="963"/>
      <c r="F356" s="964">
        <f>SUM(G356:J356)</f>
        <v>0</v>
      </c>
      <c r="G356" s="964"/>
      <c r="H356" s="964"/>
      <c r="I356" s="964"/>
      <c r="J356" s="946"/>
      <c r="K356" s="938"/>
    </row>
    <row r="357" spans="1:226" s="939" customFormat="1" ht="24.95" hidden="1" customHeight="1">
      <c r="A357" s="1499"/>
      <c r="B357" s="1500"/>
      <c r="C357" s="1501"/>
      <c r="D357" s="1502"/>
      <c r="E357" s="963"/>
      <c r="F357" s="964">
        <f>SUM(G357:J357)</f>
        <v>0</v>
      </c>
      <c r="G357" s="964"/>
      <c r="H357" s="964"/>
      <c r="I357" s="964"/>
      <c r="J357" s="946"/>
      <c r="K357" s="938"/>
    </row>
    <row r="358" spans="1:226" s="939" customFormat="1" ht="24.95" customHeight="1">
      <c r="A358" s="1499"/>
      <c r="B358" s="1500"/>
      <c r="C358" s="1501"/>
      <c r="D358" s="1502"/>
      <c r="E358" s="966" t="s">
        <v>939</v>
      </c>
      <c r="F358" s="958">
        <f>SUM(F359:F363)</f>
        <v>25000000</v>
      </c>
      <c r="G358" s="958">
        <f>SUM(G359:G363)</f>
        <v>25000000</v>
      </c>
      <c r="H358" s="958">
        <f>SUM(H359:H363)</f>
        <v>0</v>
      </c>
      <c r="I358" s="958">
        <f>SUM(I359:I363)</f>
        <v>0</v>
      </c>
      <c r="J358" s="942">
        <f>SUM(J359:J363)</f>
        <v>0</v>
      </c>
      <c r="K358" s="938"/>
      <c r="L358" s="938"/>
      <c r="M358" s="938"/>
      <c r="N358" s="938"/>
      <c r="O358" s="938"/>
      <c r="P358" s="938"/>
      <c r="Q358" s="938"/>
      <c r="R358" s="938"/>
      <c r="S358" s="938"/>
      <c r="T358" s="938"/>
      <c r="U358" s="938"/>
      <c r="V358" s="938"/>
      <c r="W358" s="938"/>
      <c r="X358" s="938"/>
      <c r="Y358" s="938"/>
      <c r="Z358" s="938"/>
      <c r="AA358" s="938"/>
      <c r="AB358" s="938"/>
      <c r="AC358" s="938"/>
      <c r="AD358" s="938"/>
      <c r="AE358" s="938"/>
      <c r="AF358" s="938"/>
      <c r="AG358" s="938"/>
      <c r="AH358" s="938"/>
      <c r="AI358" s="938"/>
      <c r="AJ358" s="938"/>
      <c r="AK358" s="938"/>
      <c r="AL358" s="938"/>
      <c r="AM358" s="938"/>
      <c r="AN358" s="938"/>
      <c r="AO358" s="938"/>
      <c r="AP358" s="938"/>
      <c r="AQ358" s="938"/>
      <c r="AR358" s="938"/>
      <c r="AS358" s="938"/>
      <c r="AT358" s="938"/>
      <c r="AU358" s="938"/>
      <c r="AV358" s="938"/>
      <c r="AW358" s="938"/>
      <c r="AX358" s="938"/>
      <c r="AY358" s="938"/>
      <c r="AZ358" s="938"/>
      <c r="BA358" s="938"/>
      <c r="BB358" s="938"/>
      <c r="BC358" s="938"/>
      <c r="BD358" s="938"/>
      <c r="BE358" s="938"/>
      <c r="BF358" s="938"/>
      <c r="BG358" s="938"/>
      <c r="BH358" s="938"/>
      <c r="BI358" s="938"/>
      <c r="BJ358" s="938"/>
      <c r="BK358" s="938"/>
      <c r="BL358" s="938"/>
      <c r="BM358" s="938"/>
      <c r="BN358" s="938"/>
      <c r="BO358" s="938"/>
      <c r="BP358" s="938"/>
      <c r="BQ358" s="938"/>
      <c r="BR358" s="938"/>
      <c r="BS358" s="938"/>
      <c r="BT358" s="938"/>
      <c r="BU358" s="938"/>
      <c r="BV358" s="938"/>
      <c r="BW358" s="938"/>
      <c r="BX358" s="938"/>
      <c r="BY358" s="938"/>
      <c r="BZ358" s="938"/>
      <c r="CA358" s="938"/>
      <c r="CB358" s="938"/>
      <c r="CC358" s="938"/>
      <c r="CD358" s="938"/>
      <c r="CE358" s="938"/>
      <c r="CF358" s="938"/>
      <c r="CG358" s="938"/>
      <c r="CH358" s="938"/>
      <c r="CI358" s="938"/>
      <c r="CJ358" s="938"/>
      <c r="CK358" s="938"/>
      <c r="CL358" s="938"/>
      <c r="CM358" s="938"/>
      <c r="CN358" s="938"/>
      <c r="CO358" s="938"/>
      <c r="CP358" s="938"/>
      <c r="CQ358" s="938"/>
      <c r="CR358" s="938"/>
      <c r="CS358" s="938"/>
      <c r="CT358" s="938"/>
      <c r="CU358" s="938"/>
      <c r="CV358" s="938"/>
      <c r="CW358" s="938"/>
      <c r="CX358" s="938"/>
      <c r="CY358" s="938"/>
      <c r="CZ358" s="938"/>
      <c r="DA358" s="938"/>
      <c r="DB358" s="938"/>
      <c r="DC358" s="938"/>
      <c r="DD358" s="938"/>
      <c r="DE358" s="938"/>
      <c r="DF358" s="938"/>
      <c r="DG358" s="938"/>
      <c r="DH358" s="938"/>
      <c r="DI358" s="938"/>
      <c r="DJ358" s="938"/>
      <c r="DK358" s="938"/>
      <c r="DL358" s="938"/>
      <c r="DM358" s="938"/>
      <c r="DN358" s="938"/>
      <c r="DO358" s="938"/>
      <c r="DP358" s="938"/>
      <c r="DQ358" s="938"/>
      <c r="DR358" s="938"/>
      <c r="DS358" s="938"/>
      <c r="DT358" s="938"/>
      <c r="DU358" s="938"/>
      <c r="DV358" s="938"/>
      <c r="DW358" s="938"/>
      <c r="DX358" s="938"/>
      <c r="DY358" s="938"/>
      <c r="DZ358" s="938"/>
      <c r="EA358" s="938"/>
      <c r="EB358" s="938"/>
      <c r="EC358" s="938"/>
      <c r="ED358" s="938"/>
      <c r="EE358" s="938"/>
      <c r="EF358" s="938"/>
      <c r="EG358" s="938"/>
      <c r="EH358" s="938"/>
      <c r="EI358" s="938"/>
      <c r="EJ358" s="938"/>
      <c r="EK358" s="938"/>
      <c r="EL358" s="938"/>
      <c r="EM358" s="938"/>
      <c r="EN358" s="938"/>
      <c r="EO358" s="938"/>
      <c r="EP358" s="938"/>
      <c r="EQ358" s="938"/>
      <c r="ER358" s="938"/>
      <c r="ES358" s="938"/>
      <c r="ET358" s="938"/>
      <c r="EU358" s="938"/>
      <c r="EV358" s="938"/>
      <c r="EW358" s="938"/>
      <c r="EX358" s="938"/>
      <c r="EY358" s="938"/>
      <c r="EZ358" s="938"/>
      <c r="FA358" s="938"/>
      <c r="FB358" s="938"/>
      <c r="FC358" s="938"/>
      <c r="FD358" s="938"/>
      <c r="FE358" s="938"/>
      <c r="FF358" s="938"/>
      <c r="FG358" s="938"/>
      <c r="FH358" s="938"/>
      <c r="FI358" s="938"/>
      <c r="FJ358" s="938"/>
      <c r="FK358" s="938"/>
      <c r="FL358" s="938"/>
      <c r="FM358" s="938"/>
      <c r="FN358" s="938"/>
      <c r="FO358" s="938"/>
      <c r="FP358" s="938"/>
      <c r="FQ358" s="938"/>
      <c r="FR358" s="938"/>
      <c r="FS358" s="938"/>
      <c r="FT358" s="938"/>
      <c r="FU358" s="938"/>
      <c r="FV358" s="938"/>
      <c r="FW358" s="938"/>
      <c r="FX358" s="938"/>
      <c r="FY358" s="938"/>
      <c r="FZ358" s="938"/>
      <c r="GA358" s="938"/>
      <c r="GB358" s="938"/>
      <c r="GC358" s="938"/>
      <c r="GD358" s="938"/>
      <c r="GE358" s="938"/>
      <c r="GF358" s="938"/>
      <c r="GG358" s="938"/>
      <c r="GH358" s="938"/>
      <c r="GI358" s="938"/>
      <c r="GJ358" s="938"/>
      <c r="GK358" s="938"/>
      <c r="GL358" s="938"/>
      <c r="GM358" s="938"/>
      <c r="GN358" s="938"/>
      <c r="GO358" s="938"/>
      <c r="GP358" s="938"/>
      <c r="GQ358" s="938"/>
      <c r="GR358" s="938"/>
      <c r="GS358" s="938"/>
      <c r="GT358" s="938"/>
      <c r="GU358" s="938"/>
      <c r="GV358" s="938"/>
      <c r="GW358" s="938"/>
      <c r="GX358" s="938"/>
      <c r="GY358" s="938"/>
      <c r="GZ358" s="938"/>
      <c r="HA358" s="938"/>
      <c r="HB358" s="938"/>
      <c r="HC358" s="938"/>
      <c r="HD358" s="938"/>
      <c r="HE358" s="938"/>
      <c r="HF358" s="938"/>
      <c r="HG358" s="938"/>
      <c r="HH358" s="938"/>
      <c r="HI358" s="938"/>
      <c r="HJ358" s="938"/>
      <c r="HK358" s="938"/>
      <c r="HL358" s="938"/>
      <c r="HM358" s="938"/>
      <c r="HN358" s="938"/>
      <c r="HO358" s="938"/>
      <c r="HP358" s="938"/>
      <c r="HQ358" s="938"/>
      <c r="HR358" s="938"/>
    </row>
    <row r="359" spans="1:226" s="939" customFormat="1" ht="15" customHeight="1">
      <c r="A359" s="1499"/>
      <c r="B359" s="1500"/>
      <c r="C359" s="1501"/>
      <c r="D359" s="1502"/>
      <c r="E359" s="963" t="s">
        <v>268</v>
      </c>
      <c r="F359" s="964">
        <f>SUM(G359:J359)</f>
        <v>25000000</v>
      </c>
      <c r="G359" s="964">
        <v>25000000</v>
      </c>
      <c r="H359" s="964"/>
      <c r="I359" s="964"/>
      <c r="J359" s="946"/>
      <c r="K359" s="938"/>
    </row>
    <row r="360" spans="1:226" s="939" customFormat="1" ht="15" hidden="1" customHeight="1">
      <c r="A360" s="1499"/>
      <c r="B360" s="1500"/>
      <c r="C360" s="1501"/>
      <c r="D360" s="1502"/>
      <c r="E360" s="975">
        <v>6057</v>
      </c>
      <c r="F360" s="964">
        <f>SUM(G360:J360)</f>
        <v>0</v>
      </c>
      <c r="G360" s="964"/>
      <c r="H360" s="964"/>
      <c r="I360" s="964"/>
      <c r="J360" s="946"/>
      <c r="K360" s="938"/>
    </row>
    <row r="361" spans="1:226" s="939" customFormat="1" ht="15" hidden="1" customHeight="1">
      <c r="A361" s="1499"/>
      <c r="B361" s="1500"/>
      <c r="C361" s="1501"/>
      <c r="D361" s="1502"/>
      <c r="E361" s="975">
        <v>6059</v>
      </c>
      <c r="F361" s="964">
        <f>SUM(G361:J361)</f>
        <v>0</v>
      </c>
      <c r="G361" s="964"/>
      <c r="H361" s="964"/>
      <c r="I361" s="964"/>
      <c r="J361" s="946"/>
      <c r="K361" s="938"/>
    </row>
    <row r="362" spans="1:226" s="939" customFormat="1" ht="15" hidden="1" customHeight="1">
      <c r="A362" s="1499"/>
      <c r="B362" s="1500"/>
      <c r="C362" s="1501"/>
      <c r="D362" s="1502"/>
      <c r="E362" s="963" t="s">
        <v>372</v>
      </c>
      <c r="F362" s="964">
        <f>SUM(G362:J362)</f>
        <v>0</v>
      </c>
      <c r="G362" s="964"/>
      <c r="H362" s="964"/>
      <c r="I362" s="964"/>
      <c r="J362" s="946"/>
      <c r="K362" s="938"/>
    </row>
    <row r="363" spans="1:226" s="939" customFormat="1" ht="15" hidden="1" customHeight="1">
      <c r="A363" s="1499"/>
      <c r="B363" s="1500"/>
      <c r="C363" s="1501"/>
      <c r="D363" s="1502"/>
      <c r="E363" s="975">
        <v>6069</v>
      </c>
      <c r="F363" s="964">
        <f>SUM(G363:J363)</f>
        <v>0</v>
      </c>
      <c r="G363" s="964"/>
      <c r="H363" s="964"/>
      <c r="I363" s="964"/>
      <c r="J363" s="946"/>
      <c r="K363" s="938"/>
    </row>
    <row r="364" spans="1:226" s="939" customFormat="1" ht="24.95" customHeight="1">
      <c r="A364" s="1499" t="s">
        <v>948</v>
      </c>
      <c r="B364" s="1500" t="s">
        <v>985</v>
      </c>
      <c r="C364" s="1501">
        <v>600</v>
      </c>
      <c r="D364" s="1502" t="s">
        <v>377</v>
      </c>
      <c r="E364" s="954" t="s">
        <v>937</v>
      </c>
      <c r="F364" s="955">
        <f>SUM(F365,F372)</f>
        <v>14195482</v>
      </c>
      <c r="G364" s="955">
        <f>SUM(G365,G372)</f>
        <v>1449325</v>
      </c>
      <c r="H364" s="955">
        <f>SUM(H365,H372)</f>
        <v>10261895</v>
      </c>
      <c r="I364" s="955">
        <f>SUM(I365,I372)</f>
        <v>2484262</v>
      </c>
      <c r="J364" s="937">
        <f>SUM(J365,J372)</f>
        <v>0</v>
      </c>
      <c r="K364" s="938"/>
    </row>
    <row r="365" spans="1:226" s="939" customFormat="1" ht="24.95" customHeight="1">
      <c r="A365" s="1499"/>
      <c r="B365" s="1500"/>
      <c r="C365" s="1501"/>
      <c r="D365" s="1502"/>
      <c r="E365" s="957" t="s">
        <v>440</v>
      </c>
      <c r="F365" s="958">
        <f>SUM(F366,F369)</f>
        <v>0</v>
      </c>
      <c r="G365" s="958">
        <f>SUM(G366,G369)</f>
        <v>0</v>
      </c>
      <c r="H365" s="958">
        <f>SUM(H366,H369)</f>
        <v>0</v>
      </c>
      <c r="I365" s="958">
        <f>SUM(I366,I369)</f>
        <v>0</v>
      </c>
      <c r="J365" s="942">
        <f>SUM(J366,J369)</f>
        <v>0</v>
      </c>
      <c r="K365" s="938"/>
    </row>
    <row r="366" spans="1:226" s="939" customFormat="1" ht="24.95" hidden="1" customHeight="1">
      <c r="A366" s="1499"/>
      <c r="B366" s="1500"/>
      <c r="C366" s="1501"/>
      <c r="D366" s="1502"/>
      <c r="E366" s="960" t="s">
        <v>944</v>
      </c>
      <c r="F366" s="961">
        <f>SUM(F367:F368)</f>
        <v>0</v>
      </c>
      <c r="G366" s="961">
        <f>SUM(G367:G368)</f>
        <v>0</v>
      </c>
      <c r="H366" s="961">
        <f>SUM(H367:H368)</f>
        <v>0</v>
      </c>
      <c r="I366" s="961">
        <f>SUM(I367:I368)</f>
        <v>0</v>
      </c>
      <c r="J366" s="951">
        <f>SUM(J367:J368)</f>
        <v>0</v>
      </c>
      <c r="K366" s="938"/>
    </row>
    <row r="367" spans="1:226" s="939" customFormat="1" ht="24.95" hidden="1" customHeight="1">
      <c r="A367" s="1499"/>
      <c r="B367" s="1500"/>
      <c r="C367" s="1501"/>
      <c r="D367" s="1502"/>
      <c r="E367" s="963"/>
      <c r="F367" s="964">
        <f>SUM(G367:J367)</f>
        <v>0</v>
      </c>
      <c r="G367" s="964"/>
      <c r="H367" s="964"/>
      <c r="I367" s="964"/>
      <c r="J367" s="946"/>
      <c r="K367" s="938"/>
    </row>
    <row r="368" spans="1:226" s="939" customFormat="1" ht="24.95" hidden="1" customHeight="1">
      <c r="A368" s="1499"/>
      <c r="B368" s="1500"/>
      <c r="C368" s="1501"/>
      <c r="D368" s="1502"/>
      <c r="E368" s="963"/>
      <c r="F368" s="964">
        <f>SUM(G368:J368)</f>
        <v>0</v>
      </c>
      <c r="G368" s="964"/>
      <c r="H368" s="964"/>
      <c r="I368" s="964"/>
      <c r="J368" s="946"/>
      <c r="K368" s="938"/>
    </row>
    <row r="369" spans="1:226" s="934" customFormat="1" ht="24.95" hidden="1" customHeight="1">
      <c r="A369" s="1499"/>
      <c r="B369" s="1500"/>
      <c r="C369" s="1501"/>
      <c r="D369" s="1502"/>
      <c r="E369" s="960" t="s">
        <v>945</v>
      </c>
      <c r="F369" s="961">
        <f>SUM(F370:F371)</f>
        <v>0</v>
      </c>
      <c r="G369" s="961">
        <f>SUM(G370:G371)</f>
        <v>0</v>
      </c>
      <c r="H369" s="961">
        <f>SUM(H370:H371)</f>
        <v>0</v>
      </c>
      <c r="I369" s="961">
        <f>SUM(I370:I371)</f>
        <v>0</v>
      </c>
      <c r="J369" s="951">
        <f>SUM(J370:J371)</f>
        <v>0</v>
      </c>
    </row>
    <row r="370" spans="1:226" s="930" customFormat="1" ht="24.95" hidden="1" customHeight="1">
      <c r="A370" s="1499"/>
      <c r="B370" s="1500"/>
      <c r="C370" s="1501"/>
      <c r="D370" s="1502"/>
      <c r="E370" s="963"/>
      <c r="F370" s="964">
        <f>SUM(G370:J370)</f>
        <v>0</v>
      </c>
      <c r="G370" s="964"/>
      <c r="H370" s="964"/>
      <c r="I370" s="964"/>
      <c r="J370" s="946"/>
    </row>
    <row r="371" spans="1:226" s="939" customFormat="1" ht="24.95" hidden="1" customHeight="1">
      <c r="A371" s="1499"/>
      <c r="B371" s="1500"/>
      <c r="C371" s="1501"/>
      <c r="D371" s="1502"/>
      <c r="E371" s="963"/>
      <c r="F371" s="964">
        <f>SUM(G371:J371)</f>
        <v>0</v>
      </c>
      <c r="G371" s="964"/>
      <c r="H371" s="964"/>
      <c r="I371" s="964"/>
      <c r="J371" s="946"/>
      <c r="K371" s="938"/>
      <c r="L371" s="938"/>
      <c r="M371" s="938"/>
      <c r="N371" s="938"/>
      <c r="O371" s="938"/>
      <c r="P371" s="938"/>
      <c r="Q371" s="938"/>
      <c r="R371" s="938"/>
      <c r="S371" s="938"/>
      <c r="T371" s="938"/>
      <c r="U371" s="938"/>
      <c r="V371" s="938"/>
      <c r="W371" s="938"/>
      <c r="X371" s="938"/>
      <c r="Y371" s="938"/>
      <c r="Z371" s="938"/>
      <c r="AA371" s="938"/>
      <c r="AB371" s="938"/>
      <c r="AC371" s="938"/>
      <c r="AD371" s="938"/>
      <c r="AE371" s="938"/>
      <c r="AF371" s="938"/>
      <c r="AG371" s="938"/>
      <c r="AH371" s="938"/>
      <c r="AI371" s="938"/>
      <c r="AJ371" s="938"/>
      <c r="AK371" s="938"/>
      <c r="AL371" s="938"/>
      <c r="AM371" s="938"/>
      <c r="AN371" s="938"/>
      <c r="AO371" s="938"/>
      <c r="AP371" s="938"/>
      <c r="AQ371" s="938"/>
      <c r="AR371" s="938"/>
      <c r="AS371" s="938"/>
      <c r="AT371" s="938"/>
      <c r="AU371" s="938"/>
      <c r="AV371" s="938"/>
      <c r="AW371" s="938"/>
      <c r="AX371" s="938"/>
      <c r="AY371" s="938"/>
      <c r="AZ371" s="938"/>
      <c r="BA371" s="938"/>
      <c r="BB371" s="938"/>
      <c r="BC371" s="938"/>
      <c r="BD371" s="938"/>
      <c r="BE371" s="938"/>
      <c r="BF371" s="938"/>
      <c r="BG371" s="938"/>
      <c r="BH371" s="938"/>
      <c r="BI371" s="938"/>
      <c r="BJ371" s="938"/>
      <c r="BK371" s="938"/>
      <c r="BL371" s="938"/>
      <c r="BM371" s="938"/>
      <c r="BN371" s="938"/>
      <c r="BO371" s="938"/>
      <c r="BP371" s="938"/>
      <c r="BQ371" s="938"/>
      <c r="BR371" s="938"/>
      <c r="BS371" s="938"/>
      <c r="BT371" s="938"/>
      <c r="BU371" s="938"/>
      <c r="BV371" s="938"/>
      <c r="BW371" s="938"/>
      <c r="BX371" s="938"/>
      <c r="BY371" s="938"/>
      <c r="BZ371" s="938"/>
      <c r="CA371" s="938"/>
      <c r="CB371" s="938"/>
      <c r="CC371" s="938"/>
      <c r="CD371" s="938"/>
      <c r="CE371" s="938"/>
      <c r="CF371" s="938"/>
      <c r="CG371" s="938"/>
      <c r="CH371" s="938"/>
      <c r="CI371" s="938"/>
      <c r="CJ371" s="938"/>
      <c r="CK371" s="938"/>
      <c r="CL371" s="938"/>
      <c r="CM371" s="938"/>
      <c r="CN371" s="938"/>
      <c r="CO371" s="938"/>
      <c r="CP371" s="938"/>
      <c r="CQ371" s="938"/>
      <c r="CR371" s="938"/>
      <c r="CS371" s="938"/>
      <c r="CT371" s="938"/>
      <c r="CU371" s="938"/>
      <c r="CV371" s="938"/>
      <c r="CW371" s="938"/>
      <c r="CX371" s="938"/>
      <c r="CY371" s="938"/>
      <c r="CZ371" s="938"/>
      <c r="DA371" s="938"/>
      <c r="DB371" s="938"/>
      <c r="DC371" s="938"/>
      <c r="DD371" s="938"/>
      <c r="DE371" s="938"/>
      <c r="DF371" s="938"/>
      <c r="DG371" s="938"/>
      <c r="DH371" s="938"/>
      <c r="DI371" s="938"/>
      <c r="DJ371" s="938"/>
      <c r="DK371" s="938"/>
      <c r="DL371" s="938"/>
      <c r="DM371" s="938"/>
      <c r="DN371" s="938"/>
      <c r="DO371" s="938"/>
      <c r="DP371" s="938"/>
      <c r="DQ371" s="938"/>
      <c r="DR371" s="938"/>
      <c r="DS371" s="938"/>
      <c r="DT371" s="938"/>
      <c r="DU371" s="938"/>
      <c r="DV371" s="938"/>
      <c r="DW371" s="938"/>
      <c r="DX371" s="938"/>
      <c r="DY371" s="938"/>
      <c r="DZ371" s="938"/>
      <c r="EA371" s="938"/>
      <c r="EB371" s="938"/>
      <c r="EC371" s="938"/>
      <c r="ED371" s="938"/>
      <c r="EE371" s="938"/>
      <c r="EF371" s="938"/>
      <c r="EG371" s="938"/>
      <c r="EH371" s="938"/>
      <c r="EI371" s="938"/>
      <c r="EJ371" s="938"/>
      <c r="EK371" s="938"/>
      <c r="EL371" s="938"/>
      <c r="EM371" s="938"/>
      <c r="EN371" s="938"/>
      <c r="EO371" s="938"/>
      <c r="EP371" s="938"/>
      <c r="EQ371" s="938"/>
      <c r="ER371" s="938"/>
      <c r="ES371" s="938"/>
      <c r="ET371" s="938"/>
      <c r="EU371" s="938"/>
      <c r="EV371" s="938"/>
      <c r="EW371" s="938"/>
      <c r="EX371" s="938"/>
      <c r="EY371" s="938"/>
      <c r="EZ371" s="938"/>
      <c r="FA371" s="938"/>
      <c r="FB371" s="938"/>
      <c r="FC371" s="938"/>
      <c r="FD371" s="938"/>
      <c r="FE371" s="938"/>
      <c r="FF371" s="938"/>
      <c r="FG371" s="938"/>
      <c r="FH371" s="938"/>
      <c r="FI371" s="938"/>
      <c r="FJ371" s="938"/>
      <c r="FK371" s="938"/>
      <c r="FL371" s="938"/>
      <c r="FM371" s="938"/>
      <c r="FN371" s="938"/>
      <c r="FO371" s="938"/>
      <c r="FP371" s="938"/>
      <c r="FQ371" s="938"/>
      <c r="FR371" s="938"/>
      <c r="FS371" s="938"/>
      <c r="FT371" s="938"/>
      <c r="FU371" s="938"/>
      <c r="FV371" s="938"/>
      <c r="FW371" s="938"/>
      <c r="FX371" s="938"/>
      <c r="FY371" s="938"/>
      <c r="FZ371" s="938"/>
      <c r="GA371" s="938"/>
      <c r="GB371" s="938"/>
      <c r="GC371" s="938"/>
      <c r="GD371" s="938"/>
      <c r="GE371" s="938"/>
      <c r="GF371" s="938"/>
      <c r="GG371" s="938"/>
      <c r="GH371" s="938"/>
      <c r="GI371" s="938"/>
      <c r="GJ371" s="938"/>
      <c r="GK371" s="938"/>
      <c r="GL371" s="938"/>
      <c r="GM371" s="938"/>
      <c r="GN371" s="938"/>
      <c r="GO371" s="938"/>
      <c r="GP371" s="938"/>
      <c r="GQ371" s="938"/>
      <c r="GR371" s="938"/>
      <c r="GS371" s="938"/>
      <c r="GT371" s="938"/>
      <c r="GU371" s="938"/>
      <c r="GV371" s="938"/>
      <c r="GW371" s="938"/>
      <c r="GX371" s="938"/>
      <c r="GY371" s="938"/>
      <c r="GZ371" s="938"/>
      <c r="HA371" s="938"/>
      <c r="HB371" s="938"/>
      <c r="HC371" s="938"/>
      <c r="HD371" s="938"/>
      <c r="HE371" s="938"/>
      <c r="HF371" s="938"/>
      <c r="HG371" s="938"/>
      <c r="HH371" s="938"/>
      <c r="HI371" s="938"/>
      <c r="HJ371" s="938"/>
      <c r="HK371" s="938"/>
      <c r="HL371" s="938"/>
      <c r="HM371" s="938"/>
      <c r="HN371" s="938"/>
      <c r="HO371" s="938"/>
      <c r="HP371" s="938"/>
      <c r="HQ371" s="938"/>
      <c r="HR371" s="938"/>
    </row>
    <row r="372" spans="1:226" s="939" customFormat="1" ht="24.95" customHeight="1">
      <c r="A372" s="1499"/>
      <c r="B372" s="1500"/>
      <c r="C372" s="1501"/>
      <c r="D372" s="1502"/>
      <c r="E372" s="966" t="s">
        <v>939</v>
      </c>
      <c r="F372" s="958">
        <f>SUM(F373:F377)</f>
        <v>14195482</v>
      </c>
      <c r="G372" s="958">
        <f>SUM(G373:G377)</f>
        <v>1449325</v>
      </c>
      <c r="H372" s="958">
        <f>SUM(H373:H377)</f>
        <v>10261895</v>
      </c>
      <c r="I372" s="958">
        <f>SUM(I373:I377)</f>
        <v>2484262</v>
      </c>
      <c r="J372" s="942">
        <f>SUM(J373:J377)</f>
        <v>0</v>
      </c>
      <c r="K372" s="938"/>
    </row>
    <row r="373" spans="1:226" s="939" customFormat="1" ht="15" customHeight="1">
      <c r="A373" s="1499"/>
      <c r="B373" s="1500"/>
      <c r="C373" s="1501"/>
      <c r="D373" s="1502"/>
      <c r="E373" s="963" t="s">
        <v>268</v>
      </c>
      <c r="F373" s="964">
        <f>SUM(G373:J373)</f>
        <v>755779</v>
      </c>
      <c r="G373" s="964">
        <v>755779</v>
      </c>
      <c r="H373" s="964"/>
      <c r="I373" s="964"/>
      <c r="J373" s="946"/>
      <c r="K373" s="938"/>
    </row>
    <row r="374" spans="1:226" s="939" customFormat="1" ht="15" customHeight="1">
      <c r="A374" s="1499"/>
      <c r="B374" s="1500"/>
      <c r="C374" s="1501"/>
      <c r="D374" s="1502"/>
      <c r="E374" s="963" t="s">
        <v>282</v>
      </c>
      <c r="F374" s="964">
        <f>SUM(G374:J374)</f>
        <v>9409235</v>
      </c>
      <c r="G374" s="964"/>
      <c r="H374" s="964">
        <v>9409235</v>
      </c>
      <c r="I374" s="964"/>
      <c r="J374" s="946"/>
      <c r="K374" s="938"/>
    </row>
    <row r="375" spans="1:226" s="939" customFormat="1" ht="15" customHeight="1">
      <c r="A375" s="1499"/>
      <c r="B375" s="1500"/>
      <c r="C375" s="1501"/>
      <c r="D375" s="1502"/>
      <c r="E375" s="963" t="s">
        <v>283</v>
      </c>
      <c r="F375" s="964">
        <f>SUM(G375:J375)</f>
        <v>3130468</v>
      </c>
      <c r="G375" s="964">
        <v>646206</v>
      </c>
      <c r="H375" s="964"/>
      <c r="I375" s="964">
        <v>2484262</v>
      </c>
      <c r="J375" s="946"/>
      <c r="K375" s="938"/>
    </row>
    <row r="376" spans="1:226" s="939" customFormat="1" ht="15" customHeight="1">
      <c r="A376" s="1499"/>
      <c r="B376" s="1500"/>
      <c r="C376" s="1501"/>
      <c r="D376" s="1502"/>
      <c r="E376" s="963" t="s">
        <v>372</v>
      </c>
      <c r="F376" s="964">
        <f>SUM(G376:J376)</f>
        <v>852660</v>
      </c>
      <c r="G376" s="964"/>
      <c r="H376" s="964">
        <v>852660</v>
      </c>
      <c r="I376" s="964"/>
      <c r="J376" s="946"/>
      <c r="K376" s="938"/>
    </row>
    <row r="377" spans="1:226" s="939" customFormat="1" ht="15" customHeight="1">
      <c r="A377" s="1499"/>
      <c r="B377" s="1500"/>
      <c r="C377" s="1501"/>
      <c r="D377" s="1502"/>
      <c r="E377" s="975">
        <v>6069</v>
      </c>
      <c r="F377" s="964">
        <f>SUM(G377:J377)</f>
        <v>47340</v>
      </c>
      <c r="G377" s="964">
        <v>47340</v>
      </c>
      <c r="H377" s="964"/>
      <c r="I377" s="964"/>
      <c r="J377" s="946"/>
      <c r="K377" s="938"/>
    </row>
    <row r="378" spans="1:226" s="939" customFormat="1" ht="24.95" customHeight="1">
      <c r="A378" s="1499" t="s">
        <v>950</v>
      </c>
      <c r="B378" s="1500" t="s">
        <v>986</v>
      </c>
      <c r="C378" s="1501">
        <v>600</v>
      </c>
      <c r="D378" s="1502" t="s">
        <v>377</v>
      </c>
      <c r="E378" s="954" t="s">
        <v>937</v>
      </c>
      <c r="F378" s="955">
        <f>SUM(F379,F386)</f>
        <v>13316570</v>
      </c>
      <c r="G378" s="955">
        <f>SUM(G379,G386)</f>
        <v>1997486</v>
      </c>
      <c r="H378" s="955">
        <f>SUM(H379,H386)</f>
        <v>11319084</v>
      </c>
      <c r="I378" s="955">
        <f>SUM(I379,I386)</f>
        <v>0</v>
      </c>
      <c r="J378" s="937">
        <f>SUM(J379,J386)</f>
        <v>0</v>
      </c>
      <c r="K378" s="938"/>
    </row>
    <row r="379" spans="1:226" s="939" customFormat="1" ht="24.95" customHeight="1">
      <c r="A379" s="1499"/>
      <c r="B379" s="1500"/>
      <c r="C379" s="1501"/>
      <c r="D379" s="1502"/>
      <c r="E379" s="957" t="s">
        <v>440</v>
      </c>
      <c r="F379" s="958">
        <f>SUM(F380,F383)</f>
        <v>0</v>
      </c>
      <c r="G379" s="958">
        <f>SUM(G380,G383)</f>
        <v>0</v>
      </c>
      <c r="H379" s="958">
        <f>SUM(H380,H383)</f>
        <v>0</v>
      </c>
      <c r="I379" s="958">
        <f>SUM(I380,I383)</f>
        <v>0</v>
      </c>
      <c r="J379" s="942">
        <f>SUM(J380,J383)</f>
        <v>0</v>
      </c>
      <c r="K379" s="938"/>
    </row>
    <row r="380" spans="1:226" s="939" customFormat="1" ht="24.95" hidden="1" customHeight="1">
      <c r="A380" s="1499"/>
      <c r="B380" s="1500"/>
      <c r="C380" s="1501"/>
      <c r="D380" s="1502"/>
      <c r="E380" s="960" t="s">
        <v>944</v>
      </c>
      <c r="F380" s="961">
        <f>SUM(F381:F382)</f>
        <v>0</v>
      </c>
      <c r="G380" s="961">
        <f>SUM(G381:G382)</f>
        <v>0</v>
      </c>
      <c r="H380" s="961">
        <f>SUM(H381:H382)</f>
        <v>0</v>
      </c>
      <c r="I380" s="961">
        <f>SUM(I381:I382)</f>
        <v>0</v>
      </c>
      <c r="J380" s="951">
        <f>SUM(J381:J382)</f>
        <v>0</v>
      </c>
      <c r="K380" s="938"/>
      <c r="L380" s="938"/>
      <c r="M380" s="938"/>
      <c r="N380" s="938"/>
      <c r="O380" s="938"/>
      <c r="P380" s="938"/>
      <c r="Q380" s="938"/>
      <c r="R380" s="938"/>
      <c r="S380" s="938"/>
      <c r="T380" s="938"/>
      <c r="U380" s="938"/>
      <c r="V380" s="938"/>
      <c r="W380" s="938"/>
      <c r="X380" s="938"/>
      <c r="Y380" s="938"/>
      <c r="Z380" s="938"/>
      <c r="AA380" s="938"/>
      <c r="AB380" s="938"/>
      <c r="AC380" s="938"/>
      <c r="AD380" s="938"/>
      <c r="AE380" s="938"/>
      <c r="AF380" s="938"/>
      <c r="AG380" s="938"/>
      <c r="AH380" s="938"/>
      <c r="AI380" s="938"/>
      <c r="AJ380" s="938"/>
      <c r="AK380" s="938"/>
      <c r="AL380" s="938"/>
      <c r="AM380" s="938"/>
      <c r="AN380" s="938"/>
      <c r="AO380" s="938"/>
      <c r="AP380" s="938"/>
      <c r="AQ380" s="938"/>
      <c r="AR380" s="938"/>
      <c r="AS380" s="938"/>
      <c r="AT380" s="938"/>
      <c r="AU380" s="938"/>
      <c r="AV380" s="938"/>
      <c r="AW380" s="938"/>
      <c r="AX380" s="938"/>
      <c r="AY380" s="938"/>
      <c r="AZ380" s="938"/>
      <c r="BA380" s="938"/>
      <c r="BB380" s="938"/>
      <c r="BC380" s="938"/>
      <c r="BD380" s="938"/>
      <c r="BE380" s="938"/>
      <c r="BF380" s="938"/>
      <c r="BG380" s="938"/>
      <c r="BH380" s="938"/>
      <c r="BI380" s="938"/>
      <c r="BJ380" s="938"/>
      <c r="BK380" s="938"/>
      <c r="BL380" s="938"/>
      <c r="BM380" s="938"/>
      <c r="BN380" s="938"/>
      <c r="BO380" s="938"/>
      <c r="BP380" s="938"/>
      <c r="BQ380" s="938"/>
      <c r="BR380" s="938"/>
      <c r="BS380" s="938"/>
      <c r="BT380" s="938"/>
      <c r="BU380" s="938"/>
      <c r="BV380" s="938"/>
      <c r="BW380" s="938"/>
      <c r="BX380" s="938"/>
      <c r="BY380" s="938"/>
      <c r="BZ380" s="938"/>
      <c r="CA380" s="938"/>
      <c r="CB380" s="938"/>
      <c r="CC380" s="938"/>
      <c r="CD380" s="938"/>
      <c r="CE380" s="938"/>
      <c r="CF380" s="938"/>
      <c r="CG380" s="938"/>
      <c r="CH380" s="938"/>
      <c r="CI380" s="938"/>
      <c r="CJ380" s="938"/>
      <c r="CK380" s="938"/>
      <c r="CL380" s="938"/>
      <c r="CM380" s="938"/>
      <c r="CN380" s="938"/>
      <c r="CO380" s="938"/>
      <c r="CP380" s="938"/>
      <c r="CQ380" s="938"/>
      <c r="CR380" s="938"/>
      <c r="CS380" s="938"/>
      <c r="CT380" s="938"/>
      <c r="CU380" s="938"/>
      <c r="CV380" s="938"/>
      <c r="CW380" s="938"/>
      <c r="CX380" s="938"/>
      <c r="CY380" s="938"/>
      <c r="CZ380" s="938"/>
      <c r="DA380" s="938"/>
      <c r="DB380" s="938"/>
      <c r="DC380" s="938"/>
      <c r="DD380" s="938"/>
      <c r="DE380" s="938"/>
      <c r="DF380" s="938"/>
      <c r="DG380" s="938"/>
      <c r="DH380" s="938"/>
      <c r="DI380" s="938"/>
      <c r="DJ380" s="938"/>
      <c r="DK380" s="938"/>
      <c r="DL380" s="938"/>
      <c r="DM380" s="938"/>
      <c r="DN380" s="938"/>
      <c r="DO380" s="938"/>
      <c r="DP380" s="938"/>
      <c r="DQ380" s="938"/>
      <c r="DR380" s="938"/>
      <c r="DS380" s="938"/>
      <c r="DT380" s="938"/>
      <c r="DU380" s="938"/>
      <c r="DV380" s="938"/>
      <c r="DW380" s="938"/>
      <c r="DX380" s="938"/>
      <c r="DY380" s="938"/>
      <c r="DZ380" s="938"/>
      <c r="EA380" s="938"/>
      <c r="EB380" s="938"/>
      <c r="EC380" s="938"/>
      <c r="ED380" s="938"/>
      <c r="EE380" s="938"/>
      <c r="EF380" s="938"/>
      <c r="EG380" s="938"/>
      <c r="EH380" s="938"/>
      <c r="EI380" s="938"/>
      <c r="EJ380" s="938"/>
      <c r="EK380" s="938"/>
      <c r="EL380" s="938"/>
      <c r="EM380" s="938"/>
      <c r="EN380" s="938"/>
      <c r="EO380" s="938"/>
      <c r="EP380" s="938"/>
      <c r="EQ380" s="938"/>
      <c r="ER380" s="938"/>
      <c r="ES380" s="938"/>
      <c r="ET380" s="938"/>
      <c r="EU380" s="938"/>
      <c r="EV380" s="938"/>
      <c r="EW380" s="938"/>
      <c r="EX380" s="938"/>
      <c r="EY380" s="938"/>
      <c r="EZ380" s="938"/>
      <c r="FA380" s="938"/>
      <c r="FB380" s="938"/>
      <c r="FC380" s="938"/>
      <c r="FD380" s="938"/>
      <c r="FE380" s="938"/>
      <c r="FF380" s="938"/>
      <c r="FG380" s="938"/>
      <c r="FH380" s="938"/>
      <c r="FI380" s="938"/>
      <c r="FJ380" s="938"/>
      <c r="FK380" s="938"/>
      <c r="FL380" s="938"/>
      <c r="FM380" s="938"/>
      <c r="FN380" s="938"/>
      <c r="FO380" s="938"/>
      <c r="FP380" s="938"/>
      <c r="FQ380" s="938"/>
      <c r="FR380" s="938"/>
      <c r="FS380" s="938"/>
      <c r="FT380" s="938"/>
      <c r="FU380" s="938"/>
      <c r="FV380" s="938"/>
      <c r="FW380" s="938"/>
      <c r="FX380" s="938"/>
      <c r="FY380" s="938"/>
      <c r="FZ380" s="938"/>
      <c r="GA380" s="938"/>
      <c r="GB380" s="938"/>
      <c r="GC380" s="938"/>
      <c r="GD380" s="938"/>
      <c r="GE380" s="938"/>
      <c r="GF380" s="938"/>
      <c r="GG380" s="938"/>
      <c r="GH380" s="938"/>
      <c r="GI380" s="938"/>
      <c r="GJ380" s="938"/>
      <c r="GK380" s="938"/>
      <c r="GL380" s="938"/>
      <c r="GM380" s="938"/>
      <c r="GN380" s="938"/>
      <c r="GO380" s="938"/>
      <c r="GP380" s="938"/>
      <c r="GQ380" s="938"/>
      <c r="GR380" s="938"/>
      <c r="GS380" s="938"/>
      <c r="GT380" s="938"/>
      <c r="GU380" s="938"/>
      <c r="GV380" s="938"/>
      <c r="GW380" s="938"/>
      <c r="GX380" s="938"/>
      <c r="GY380" s="938"/>
      <c r="GZ380" s="938"/>
      <c r="HA380" s="938"/>
      <c r="HB380" s="938"/>
      <c r="HC380" s="938"/>
      <c r="HD380" s="938"/>
      <c r="HE380" s="938"/>
      <c r="HF380" s="938"/>
      <c r="HG380" s="938"/>
      <c r="HH380" s="938"/>
      <c r="HI380" s="938"/>
      <c r="HJ380" s="938"/>
      <c r="HK380" s="938"/>
      <c r="HL380" s="938"/>
      <c r="HM380" s="938"/>
      <c r="HN380" s="938"/>
      <c r="HO380" s="938"/>
      <c r="HP380" s="938"/>
      <c r="HQ380" s="938"/>
      <c r="HR380" s="938"/>
    </row>
    <row r="381" spans="1:226" s="939" customFormat="1" ht="24.95" hidden="1" customHeight="1">
      <c r="A381" s="1499"/>
      <c r="B381" s="1500"/>
      <c r="C381" s="1501"/>
      <c r="D381" s="1502"/>
      <c r="E381" s="963"/>
      <c r="F381" s="964">
        <f>SUM(G381:J381)</f>
        <v>0</v>
      </c>
      <c r="G381" s="964"/>
      <c r="H381" s="964"/>
      <c r="I381" s="964"/>
      <c r="J381" s="946"/>
      <c r="K381" s="938"/>
    </row>
    <row r="382" spans="1:226" s="939" customFormat="1" ht="24.95" hidden="1" customHeight="1">
      <c r="A382" s="1499"/>
      <c r="B382" s="1500"/>
      <c r="C382" s="1501"/>
      <c r="D382" s="1502"/>
      <c r="E382" s="963"/>
      <c r="F382" s="964">
        <f>SUM(G382:J382)</f>
        <v>0</v>
      </c>
      <c r="G382" s="964"/>
      <c r="H382" s="964"/>
      <c r="I382" s="964"/>
      <c r="J382" s="946"/>
      <c r="K382" s="938"/>
    </row>
    <row r="383" spans="1:226" s="939" customFormat="1" ht="24.95" hidden="1" customHeight="1">
      <c r="A383" s="1499"/>
      <c r="B383" s="1500"/>
      <c r="C383" s="1501"/>
      <c r="D383" s="1502"/>
      <c r="E383" s="960" t="s">
        <v>945</v>
      </c>
      <c r="F383" s="961">
        <f>SUM(F384:F385)</f>
        <v>0</v>
      </c>
      <c r="G383" s="961">
        <f>SUM(G384:G385)</f>
        <v>0</v>
      </c>
      <c r="H383" s="961">
        <f>SUM(H384:H385)</f>
        <v>0</v>
      </c>
      <c r="I383" s="961">
        <f>SUM(I384:I385)</f>
        <v>0</v>
      </c>
      <c r="J383" s="951">
        <f>SUM(J384:J385)</f>
        <v>0</v>
      </c>
      <c r="K383" s="938"/>
    </row>
    <row r="384" spans="1:226" s="939" customFormat="1" ht="24.95" hidden="1" customHeight="1">
      <c r="A384" s="1499"/>
      <c r="B384" s="1500"/>
      <c r="C384" s="1501"/>
      <c r="D384" s="1502"/>
      <c r="E384" s="963"/>
      <c r="F384" s="964">
        <f>SUM(G384:J384)</f>
        <v>0</v>
      </c>
      <c r="G384" s="964"/>
      <c r="H384" s="964"/>
      <c r="I384" s="964"/>
      <c r="J384" s="946"/>
      <c r="K384" s="938"/>
    </row>
    <row r="385" spans="1:226" s="939" customFormat="1" ht="24.95" hidden="1" customHeight="1">
      <c r="A385" s="1499"/>
      <c r="B385" s="1500"/>
      <c r="C385" s="1501"/>
      <c r="D385" s="1502"/>
      <c r="E385" s="963"/>
      <c r="F385" s="964">
        <f>SUM(G385:J385)</f>
        <v>0</v>
      </c>
      <c r="G385" s="964"/>
      <c r="H385" s="964"/>
      <c r="I385" s="964"/>
      <c r="J385" s="946"/>
      <c r="K385" s="938"/>
    </row>
    <row r="386" spans="1:226" s="939" customFormat="1" ht="24.95" customHeight="1">
      <c r="A386" s="1499"/>
      <c r="B386" s="1500"/>
      <c r="C386" s="1501"/>
      <c r="D386" s="1502"/>
      <c r="E386" s="966" t="s">
        <v>939</v>
      </c>
      <c r="F386" s="958">
        <f>SUM(F387:F391)</f>
        <v>13316570</v>
      </c>
      <c r="G386" s="958">
        <f>SUM(G387:G391)</f>
        <v>1997486</v>
      </c>
      <c r="H386" s="958">
        <f>SUM(H387:H391)</f>
        <v>11319084</v>
      </c>
      <c r="I386" s="958">
        <f>SUM(I387:I391)</f>
        <v>0</v>
      </c>
      <c r="J386" s="942">
        <f>SUM(J387:J391)</f>
        <v>0</v>
      </c>
      <c r="K386" s="938"/>
    </row>
    <row r="387" spans="1:226" s="939" customFormat="1" ht="15" hidden="1" customHeight="1">
      <c r="A387" s="1499"/>
      <c r="B387" s="1500"/>
      <c r="C387" s="1501"/>
      <c r="D387" s="1502"/>
      <c r="E387" s="963" t="s">
        <v>268</v>
      </c>
      <c r="F387" s="964">
        <f>SUM(G387:J387)</f>
        <v>0</v>
      </c>
      <c r="G387" s="964"/>
      <c r="H387" s="964"/>
      <c r="I387" s="964"/>
      <c r="J387" s="946"/>
      <c r="K387" s="938"/>
    </row>
    <row r="388" spans="1:226" s="939" customFormat="1" ht="15" customHeight="1">
      <c r="A388" s="1499"/>
      <c r="B388" s="1500"/>
      <c r="C388" s="1501"/>
      <c r="D388" s="1502"/>
      <c r="E388" s="975">
        <v>6057</v>
      </c>
      <c r="F388" s="964">
        <f>SUM(G388:J388)</f>
        <v>11319084</v>
      </c>
      <c r="G388" s="964"/>
      <c r="H388" s="964">
        <v>11319084</v>
      </c>
      <c r="I388" s="964"/>
      <c r="J388" s="946"/>
      <c r="K388" s="938"/>
    </row>
    <row r="389" spans="1:226" s="939" customFormat="1" ht="15" customHeight="1">
      <c r="A389" s="1499"/>
      <c r="B389" s="1500"/>
      <c r="C389" s="1501"/>
      <c r="D389" s="1502"/>
      <c r="E389" s="975">
        <v>6059</v>
      </c>
      <c r="F389" s="964">
        <f>SUM(G389:J389)</f>
        <v>1997486</v>
      </c>
      <c r="G389" s="964">
        <v>1997486</v>
      </c>
      <c r="H389" s="964"/>
      <c r="I389" s="964"/>
      <c r="J389" s="946"/>
      <c r="K389" s="938"/>
    </row>
    <row r="390" spans="1:226" s="939" customFormat="1" ht="15" hidden="1" customHeight="1">
      <c r="A390" s="1499"/>
      <c r="B390" s="1500"/>
      <c r="C390" s="1501"/>
      <c r="D390" s="1502"/>
      <c r="E390" s="963" t="s">
        <v>372</v>
      </c>
      <c r="F390" s="964">
        <f>SUM(G390:J390)</f>
        <v>0</v>
      </c>
      <c r="G390" s="964"/>
      <c r="H390" s="964"/>
      <c r="I390" s="964"/>
      <c r="J390" s="946"/>
      <c r="K390" s="938"/>
    </row>
    <row r="391" spans="1:226" s="939" customFormat="1" ht="15" hidden="1" customHeight="1">
      <c r="A391" s="1499"/>
      <c r="B391" s="1500"/>
      <c r="C391" s="1501"/>
      <c r="D391" s="1502"/>
      <c r="E391" s="975">
        <v>6069</v>
      </c>
      <c r="F391" s="964">
        <f>SUM(G391:J391)</f>
        <v>0</v>
      </c>
      <c r="G391" s="964"/>
      <c r="H391" s="964"/>
      <c r="I391" s="964"/>
      <c r="J391" s="946"/>
      <c r="K391" s="938"/>
    </row>
    <row r="392" spans="1:226" s="939" customFormat="1" ht="24.95" customHeight="1">
      <c r="A392" s="1499" t="s">
        <v>952</v>
      </c>
      <c r="B392" s="1500" t="s">
        <v>987</v>
      </c>
      <c r="C392" s="1501">
        <v>630</v>
      </c>
      <c r="D392" s="1502" t="s">
        <v>391</v>
      </c>
      <c r="E392" s="954" t="s">
        <v>937</v>
      </c>
      <c r="F392" s="955">
        <f>SUM(F393,F400)</f>
        <v>64109279</v>
      </c>
      <c r="G392" s="955">
        <f>SUM(G393,G400)</f>
        <v>5603272</v>
      </c>
      <c r="H392" s="955">
        <f>SUM(H393,H400)</f>
        <v>51946359</v>
      </c>
      <c r="I392" s="955">
        <f>SUM(I393,I400)</f>
        <v>6559648</v>
      </c>
      <c r="J392" s="937">
        <f>SUM(J393,J400)</f>
        <v>0</v>
      </c>
      <c r="K392" s="938"/>
      <c r="L392" s="938"/>
      <c r="M392" s="938"/>
      <c r="N392" s="938"/>
      <c r="O392" s="938"/>
      <c r="P392" s="938"/>
      <c r="Q392" s="938"/>
      <c r="R392" s="938"/>
      <c r="S392" s="938"/>
      <c r="T392" s="938"/>
      <c r="U392" s="938"/>
      <c r="V392" s="938"/>
      <c r="W392" s="938"/>
      <c r="X392" s="938"/>
      <c r="Y392" s="938"/>
      <c r="Z392" s="938"/>
      <c r="AA392" s="938"/>
      <c r="AB392" s="938"/>
      <c r="AC392" s="938"/>
      <c r="AD392" s="938"/>
      <c r="AE392" s="938"/>
      <c r="AF392" s="938"/>
      <c r="AG392" s="938"/>
      <c r="AH392" s="938"/>
      <c r="AI392" s="938"/>
      <c r="AJ392" s="938"/>
      <c r="AK392" s="938"/>
      <c r="AL392" s="938"/>
      <c r="AM392" s="938"/>
      <c r="AN392" s="938"/>
      <c r="AO392" s="938"/>
      <c r="AP392" s="938"/>
      <c r="AQ392" s="938"/>
      <c r="AR392" s="938"/>
      <c r="AS392" s="938"/>
      <c r="AT392" s="938"/>
      <c r="AU392" s="938"/>
      <c r="AV392" s="938"/>
      <c r="AW392" s="938"/>
      <c r="AX392" s="938"/>
      <c r="AY392" s="938"/>
      <c r="AZ392" s="938"/>
      <c r="BA392" s="938"/>
      <c r="BB392" s="938"/>
      <c r="BC392" s="938"/>
      <c r="BD392" s="938"/>
      <c r="BE392" s="938"/>
      <c r="BF392" s="938"/>
      <c r="BG392" s="938"/>
      <c r="BH392" s="938"/>
      <c r="BI392" s="938"/>
      <c r="BJ392" s="938"/>
      <c r="BK392" s="938"/>
      <c r="BL392" s="938"/>
      <c r="BM392" s="938"/>
      <c r="BN392" s="938"/>
      <c r="BO392" s="938"/>
      <c r="BP392" s="938"/>
      <c r="BQ392" s="938"/>
      <c r="BR392" s="938"/>
      <c r="BS392" s="938"/>
      <c r="BT392" s="938"/>
      <c r="BU392" s="938"/>
      <c r="BV392" s="938"/>
      <c r="BW392" s="938"/>
      <c r="BX392" s="938"/>
      <c r="BY392" s="938"/>
      <c r="BZ392" s="938"/>
      <c r="CA392" s="938"/>
      <c r="CB392" s="938"/>
      <c r="CC392" s="938"/>
      <c r="CD392" s="938"/>
      <c r="CE392" s="938"/>
      <c r="CF392" s="938"/>
      <c r="CG392" s="938"/>
      <c r="CH392" s="938"/>
      <c r="CI392" s="938"/>
      <c r="CJ392" s="938"/>
      <c r="CK392" s="938"/>
      <c r="CL392" s="938"/>
      <c r="CM392" s="938"/>
      <c r="CN392" s="938"/>
      <c r="CO392" s="938"/>
      <c r="CP392" s="938"/>
      <c r="CQ392" s="938"/>
      <c r="CR392" s="938"/>
      <c r="CS392" s="938"/>
      <c r="CT392" s="938"/>
      <c r="CU392" s="938"/>
      <c r="CV392" s="938"/>
      <c r="CW392" s="938"/>
      <c r="CX392" s="938"/>
      <c r="CY392" s="938"/>
      <c r="CZ392" s="938"/>
      <c r="DA392" s="938"/>
      <c r="DB392" s="938"/>
      <c r="DC392" s="938"/>
      <c r="DD392" s="938"/>
      <c r="DE392" s="938"/>
      <c r="DF392" s="938"/>
      <c r="DG392" s="938"/>
      <c r="DH392" s="938"/>
      <c r="DI392" s="938"/>
      <c r="DJ392" s="938"/>
      <c r="DK392" s="938"/>
      <c r="DL392" s="938"/>
      <c r="DM392" s="938"/>
      <c r="DN392" s="938"/>
      <c r="DO392" s="938"/>
      <c r="DP392" s="938"/>
      <c r="DQ392" s="938"/>
      <c r="DR392" s="938"/>
      <c r="DS392" s="938"/>
      <c r="DT392" s="938"/>
      <c r="DU392" s="938"/>
      <c r="DV392" s="938"/>
      <c r="DW392" s="938"/>
      <c r="DX392" s="938"/>
      <c r="DY392" s="938"/>
      <c r="DZ392" s="938"/>
      <c r="EA392" s="938"/>
      <c r="EB392" s="938"/>
      <c r="EC392" s="938"/>
      <c r="ED392" s="938"/>
      <c r="EE392" s="938"/>
      <c r="EF392" s="938"/>
      <c r="EG392" s="938"/>
      <c r="EH392" s="938"/>
      <c r="EI392" s="938"/>
      <c r="EJ392" s="938"/>
      <c r="EK392" s="938"/>
      <c r="EL392" s="938"/>
      <c r="EM392" s="938"/>
      <c r="EN392" s="938"/>
      <c r="EO392" s="938"/>
      <c r="EP392" s="938"/>
      <c r="EQ392" s="938"/>
      <c r="ER392" s="938"/>
      <c r="ES392" s="938"/>
      <c r="ET392" s="938"/>
      <c r="EU392" s="938"/>
      <c r="EV392" s="938"/>
      <c r="EW392" s="938"/>
      <c r="EX392" s="938"/>
      <c r="EY392" s="938"/>
      <c r="EZ392" s="938"/>
      <c r="FA392" s="938"/>
      <c r="FB392" s="938"/>
      <c r="FC392" s="938"/>
      <c r="FD392" s="938"/>
      <c r="FE392" s="938"/>
      <c r="FF392" s="938"/>
      <c r="FG392" s="938"/>
      <c r="FH392" s="938"/>
      <c r="FI392" s="938"/>
      <c r="FJ392" s="938"/>
      <c r="FK392" s="938"/>
      <c r="FL392" s="938"/>
      <c r="FM392" s="938"/>
      <c r="FN392" s="938"/>
      <c r="FO392" s="938"/>
      <c r="FP392" s="938"/>
      <c r="FQ392" s="938"/>
      <c r="FR392" s="938"/>
      <c r="FS392" s="938"/>
      <c r="FT392" s="938"/>
      <c r="FU392" s="938"/>
      <c r="FV392" s="938"/>
      <c r="FW392" s="938"/>
      <c r="FX392" s="938"/>
      <c r="FY392" s="938"/>
      <c r="FZ392" s="938"/>
      <c r="GA392" s="938"/>
      <c r="GB392" s="938"/>
      <c r="GC392" s="938"/>
      <c r="GD392" s="938"/>
      <c r="GE392" s="938"/>
      <c r="GF392" s="938"/>
      <c r="GG392" s="938"/>
      <c r="GH392" s="938"/>
      <c r="GI392" s="938"/>
      <c r="GJ392" s="938"/>
      <c r="GK392" s="938"/>
      <c r="GL392" s="938"/>
      <c r="GM392" s="938"/>
      <c r="GN392" s="938"/>
      <c r="GO392" s="938"/>
      <c r="GP392" s="938"/>
      <c r="GQ392" s="938"/>
      <c r="GR392" s="938"/>
      <c r="GS392" s="938"/>
      <c r="GT392" s="938"/>
      <c r="GU392" s="938"/>
      <c r="GV392" s="938"/>
      <c r="GW392" s="938"/>
      <c r="GX392" s="938"/>
      <c r="GY392" s="938"/>
      <c r="GZ392" s="938"/>
      <c r="HA392" s="938"/>
      <c r="HB392" s="938"/>
      <c r="HC392" s="938"/>
      <c r="HD392" s="938"/>
      <c r="HE392" s="938"/>
      <c r="HF392" s="938"/>
      <c r="HG392" s="938"/>
      <c r="HH392" s="938"/>
      <c r="HI392" s="938"/>
      <c r="HJ392" s="938"/>
      <c r="HK392" s="938"/>
      <c r="HL392" s="938"/>
      <c r="HM392" s="938"/>
      <c r="HN392" s="938"/>
      <c r="HO392" s="938"/>
      <c r="HP392" s="938"/>
      <c r="HQ392" s="938"/>
      <c r="HR392" s="938"/>
    </row>
    <row r="393" spans="1:226" s="939" customFormat="1" ht="24.95" customHeight="1">
      <c r="A393" s="1499"/>
      <c r="B393" s="1500"/>
      <c r="C393" s="1501"/>
      <c r="D393" s="1502"/>
      <c r="E393" s="957" t="s">
        <v>440</v>
      </c>
      <c r="F393" s="958">
        <f>SUM(F394,F397)</f>
        <v>0</v>
      </c>
      <c r="G393" s="958">
        <f>SUM(G394,G397)</f>
        <v>0</v>
      </c>
      <c r="H393" s="958">
        <f>SUM(H394,H397)</f>
        <v>0</v>
      </c>
      <c r="I393" s="958">
        <f>SUM(I394,I397)</f>
        <v>0</v>
      </c>
      <c r="J393" s="942">
        <f>SUM(J394,J397)</f>
        <v>0</v>
      </c>
      <c r="K393" s="938"/>
    </row>
    <row r="394" spans="1:226" s="939" customFormat="1" ht="24.95" hidden="1" customHeight="1">
      <c r="A394" s="1499"/>
      <c r="B394" s="1500"/>
      <c r="C394" s="1501"/>
      <c r="D394" s="1502"/>
      <c r="E394" s="960" t="s">
        <v>944</v>
      </c>
      <c r="F394" s="961">
        <f>SUM(F395:F396)</f>
        <v>0</v>
      </c>
      <c r="G394" s="961">
        <f>SUM(G395:G396)</f>
        <v>0</v>
      </c>
      <c r="H394" s="961">
        <f>SUM(H395:H396)</f>
        <v>0</v>
      </c>
      <c r="I394" s="961">
        <f>SUM(I395:I396)</f>
        <v>0</v>
      </c>
      <c r="J394" s="951">
        <f>SUM(J395:J396)</f>
        <v>0</v>
      </c>
      <c r="K394" s="938"/>
    </row>
    <row r="395" spans="1:226" s="939" customFormat="1" ht="24.95" hidden="1" customHeight="1">
      <c r="A395" s="1499"/>
      <c r="B395" s="1500"/>
      <c r="C395" s="1501"/>
      <c r="D395" s="1502"/>
      <c r="E395" s="963"/>
      <c r="F395" s="964">
        <f>SUM(G395:J395)</f>
        <v>0</v>
      </c>
      <c r="G395" s="964"/>
      <c r="H395" s="964"/>
      <c r="I395" s="964"/>
      <c r="J395" s="946"/>
      <c r="K395" s="938"/>
    </row>
    <row r="396" spans="1:226" s="939" customFormat="1" ht="24.95" hidden="1" customHeight="1">
      <c r="A396" s="1499"/>
      <c r="B396" s="1500"/>
      <c r="C396" s="1501"/>
      <c r="D396" s="1502"/>
      <c r="E396" s="963"/>
      <c r="F396" s="964">
        <f>SUM(G396:J396)</f>
        <v>0</v>
      </c>
      <c r="G396" s="964"/>
      <c r="H396" s="964"/>
      <c r="I396" s="964"/>
      <c r="J396" s="946"/>
      <c r="K396" s="938"/>
    </row>
    <row r="397" spans="1:226" s="939" customFormat="1" ht="24.95" hidden="1" customHeight="1">
      <c r="A397" s="1499"/>
      <c r="B397" s="1500"/>
      <c r="C397" s="1501"/>
      <c r="D397" s="1502"/>
      <c r="E397" s="960" t="s">
        <v>945</v>
      </c>
      <c r="F397" s="961">
        <f>SUM(F398:F399)</f>
        <v>0</v>
      </c>
      <c r="G397" s="961">
        <f>SUM(G398:G399)</f>
        <v>0</v>
      </c>
      <c r="H397" s="961">
        <f>SUM(H398:H399)</f>
        <v>0</v>
      </c>
      <c r="I397" s="961">
        <f>SUM(I398:I399)</f>
        <v>0</v>
      </c>
      <c r="J397" s="951">
        <f>SUM(J398:J399)</f>
        <v>0</v>
      </c>
      <c r="K397" s="938"/>
    </row>
    <row r="398" spans="1:226" s="939" customFormat="1" ht="24.95" hidden="1" customHeight="1">
      <c r="A398" s="1499"/>
      <c r="B398" s="1500"/>
      <c r="C398" s="1501"/>
      <c r="D398" s="1502"/>
      <c r="E398" s="963"/>
      <c r="F398" s="964">
        <f>SUM(G398:J398)</f>
        <v>0</v>
      </c>
      <c r="G398" s="964"/>
      <c r="H398" s="964"/>
      <c r="I398" s="964"/>
      <c r="J398" s="946"/>
      <c r="K398" s="938"/>
    </row>
    <row r="399" spans="1:226" s="939" customFormat="1" ht="24.95" hidden="1" customHeight="1">
      <c r="A399" s="1499"/>
      <c r="B399" s="1500"/>
      <c r="C399" s="1501"/>
      <c r="D399" s="1502"/>
      <c r="E399" s="963"/>
      <c r="F399" s="964">
        <f>SUM(G399:J399)</f>
        <v>0</v>
      </c>
      <c r="G399" s="964"/>
      <c r="H399" s="964"/>
      <c r="I399" s="964"/>
      <c r="J399" s="946"/>
      <c r="K399" s="938"/>
    </row>
    <row r="400" spans="1:226" s="939" customFormat="1" ht="24.95" customHeight="1">
      <c r="A400" s="1499"/>
      <c r="B400" s="1500"/>
      <c r="C400" s="1501"/>
      <c r="D400" s="1502"/>
      <c r="E400" s="966" t="s">
        <v>939</v>
      </c>
      <c r="F400" s="958">
        <f>SUM(F401:F405)</f>
        <v>64109279</v>
      </c>
      <c r="G400" s="958">
        <f>SUM(G401:G405)</f>
        <v>5603272</v>
      </c>
      <c r="H400" s="958">
        <f>SUM(H401:H405)</f>
        <v>51946359</v>
      </c>
      <c r="I400" s="958">
        <f>SUM(I401:I405)</f>
        <v>6559648</v>
      </c>
      <c r="J400" s="942">
        <f>SUM(J401:J405)</f>
        <v>0</v>
      </c>
      <c r="K400" s="938"/>
    </row>
    <row r="401" spans="1:226" s="939" customFormat="1" ht="15" customHeight="1">
      <c r="A401" s="1499"/>
      <c r="B401" s="1500"/>
      <c r="C401" s="1501"/>
      <c r="D401" s="1502"/>
      <c r="E401" s="963" t="s">
        <v>268</v>
      </c>
      <c r="F401" s="964">
        <f>SUM(G401:J401)</f>
        <v>323446</v>
      </c>
      <c r="G401" s="964">
        <v>323446</v>
      </c>
      <c r="H401" s="964"/>
      <c r="I401" s="964"/>
      <c r="J401" s="946"/>
      <c r="K401" s="938"/>
    </row>
    <row r="402" spans="1:226" s="939" customFormat="1" ht="15" customHeight="1">
      <c r="A402" s="1499"/>
      <c r="B402" s="1500"/>
      <c r="C402" s="1501"/>
      <c r="D402" s="1502"/>
      <c r="E402" s="963" t="s">
        <v>282</v>
      </c>
      <c r="F402" s="964">
        <f t="shared" ref="F402:F405" si="16">SUM(G402:J402)</f>
        <v>13739944</v>
      </c>
      <c r="G402" s="964"/>
      <c r="H402" s="964">
        <v>13739944</v>
      </c>
      <c r="I402" s="964"/>
      <c r="J402" s="946"/>
      <c r="K402" s="938"/>
    </row>
    <row r="403" spans="1:226" s="939" customFormat="1" ht="15" customHeight="1">
      <c r="A403" s="1499"/>
      <c r="B403" s="1500"/>
      <c r="C403" s="1501"/>
      <c r="D403" s="1502"/>
      <c r="E403" s="963" t="s">
        <v>372</v>
      </c>
      <c r="F403" s="964">
        <f t="shared" si="16"/>
        <v>731685</v>
      </c>
      <c r="G403" s="964"/>
      <c r="H403" s="964">
        <v>731685</v>
      </c>
      <c r="I403" s="964"/>
      <c r="J403" s="946"/>
      <c r="K403" s="938"/>
    </row>
    <row r="404" spans="1:226" s="939" customFormat="1" ht="15" customHeight="1">
      <c r="A404" s="1499"/>
      <c r="B404" s="1500"/>
      <c r="C404" s="1501"/>
      <c r="D404" s="1502"/>
      <c r="E404" s="963" t="s">
        <v>394</v>
      </c>
      <c r="F404" s="964">
        <f t="shared" si="16"/>
        <v>37474730</v>
      </c>
      <c r="G404" s="964"/>
      <c r="H404" s="964">
        <v>37474730</v>
      </c>
      <c r="I404" s="964"/>
      <c r="J404" s="946"/>
      <c r="K404" s="938"/>
    </row>
    <row r="405" spans="1:226" s="939" customFormat="1" ht="15" customHeight="1" thickBot="1">
      <c r="A405" s="1503"/>
      <c r="B405" s="1504"/>
      <c r="C405" s="1505"/>
      <c r="D405" s="1506"/>
      <c r="E405" s="977">
        <v>6209</v>
      </c>
      <c r="F405" s="978">
        <f t="shared" si="16"/>
        <v>11839474</v>
      </c>
      <c r="G405" s="978">
        <v>5279826</v>
      </c>
      <c r="H405" s="978"/>
      <c r="I405" s="978">
        <v>6559648</v>
      </c>
      <c r="J405" s="979"/>
      <c r="K405" s="938"/>
    </row>
    <row r="406" spans="1:226" s="939" customFormat="1" ht="24.95" customHeight="1" thickBot="1">
      <c r="A406" s="931" t="s">
        <v>988</v>
      </c>
      <c r="B406" s="1515" t="s">
        <v>989</v>
      </c>
      <c r="C406" s="1515"/>
      <c r="D406" s="1515"/>
      <c r="E406" s="1515"/>
      <c r="F406" s="980">
        <f>F408+F421+F434+F446+F459+F472+F485</f>
        <v>26059262</v>
      </c>
      <c r="G406" s="980">
        <f t="shared" ref="G406:J406" si="17">G408+G421+G434+G446+G459+G472+G485</f>
        <v>0</v>
      </c>
      <c r="H406" s="980">
        <f t="shared" si="17"/>
        <v>18858288</v>
      </c>
      <c r="I406" s="980">
        <f t="shared" si="17"/>
        <v>7200974</v>
      </c>
      <c r="J406" s="981">
        <f t="shared" si="17"/>
        <v>0</v>
      </c>
      <c r="K406" s="938"/>
    </row>
    <row r="407" spans="1:226" s="939" customFormat="1">
      <c r="A407" s="1516"/>
      <c r="B407" s="1517"/>
      <c r="C407" s="1517"/>
      <c r="D407" s="1517"/>
      <c r="E407" s="1517"/>
      <c r="F407" s="1517"/>
      <c r="G407" s="1517"/>
      <c r="H407" s="1517"/>
      <c r="I407" s="1517"/>
      <c r="J407" s="1518"/>
      <c r="K407" s="938"/>
      <c r="L407" s="938"/>
      <c r="M407" s="938"/>
      <c r="N407" s="938"/>
      <c r="O407" s="938"/>
      <c r="P407" s="938"/>
      <c r="Q407" s="938"/>
      <c r="R407" s="938"/>
      <c r="S407" s="938"/>
      <c r="T407" s="938"/>
      <c r="U407" s="938"/>
      <c r="V407" s="938"/>
      <c r="W407" s="938"/>
      <c r="X407" s="938"/>
      <c r="Y407" s="938"/>
      <c r="Z407" s="938"/>
      <c r="AA407" s="938"/>
      <c r="AB407" s="938"/>
      <c r="AC407" s="938"/>
      <c r="AD407" s="938"/>
      <c r="AE407" s="938"/>
      <c r="AF407" s="938"/>
      <c r="AG407" s="938"/>
      <c r="AH407" s="938"/>
      <c r="AI407" s="938"/>
      <c r="AJ407" s="938"/>
      <c r="AK407" s="938"/>
      <c r="AL407" s="938"/>
      <c r="AM407" s="938"/>
      <c r="AN407" s="938"/>
      <c r="AO407" s="938"/>
      <c r="AP407" s="938"/>
      <c r="AQ407" s="938"/>
      <c r="AR407" s="938"/>
      <c r="AS407" s="938"/>
      <c r="AT407" s="938"/>
      <c r="AU407" s="938"/>
      <c r="AV407" s="938"/>
      <c r="AW407" s="938"/>
      <c r="AX407" s="938"/>
      <c r="AY407" s="938"/>
      <c r="AZ407" s="938"/>
      <c r="BA407" s="938"/>
      <c r="BB407" s="938"/>
      <c r="BC407" s="938"/>
      <c r="BD407" s="938"/>
      <c r="BE407" s="938"/>
      <c r="BF407" s="938"/>
      <c r="BG407" s="938"/>
      <c r="BH407" s="938"/>
      <c r="BI407" s="938"/>
      <c r="BJ407" s="938"/>
      <c r="BK407" s="938"/>
      <c r="BL407" s="938"/>
      <c r="BM407" s="938"/>
      <c r="BN407" s="938"/>
      <c r="BO407" s="938"/>
      <c r="BP407" s="938"/>
      <c r="BQ407" s="938"/>
      <c r="BR407" s="938"/>
      <c r="BS407" s="938"/>
      <c r="BT407" s="938"/>
      <c r="BU407" s="938"/>
      <c r="BV407" s="938"/>
      <c r="BW407" s="938"/>
      <c r="BX407" s="938"/>
      <c r="BY407" s="938"/>
      <c r="BZ407" s="938"/>
      <c r="CA407" s="938"/>
      <c r="CB407" s="938"/>
      <c r="CC407" s="938"/>
      <c r="CD407" s="938"/>
      <c r="CE407" s="938"/>
      <c r="CF407" s="938"/>
      <c r="CG407" s="938"/>
      <c r="CH407" s="938"/>
      <c r="CI407" s="938"/>
      <c r="CJ407" s="938"/>
      <c r="CK407" s="938"/>
      <c r="CL407" s="938"/>
      <c r="CM407" s="938"/>
      <c r="CN407" s="938"/>
      <c r="CO407" s="938"/>
      <c r="CP407" s="938"/>
      <c r="CQ407" s="938"/>
      <c r="CR407" s="938"/>
      <c r="CS407" s="938"/>
      <c r="CT407" s="938"/>
      <c r="CU407" s="938"/>
      <c r="CV407" s="938"/>
      <c r="CW407" s="938"/>
      <c r="CX407" s="938"/>
      <c r="CY407" s="938"/>
      <c r="CZ407" s="938"/>
      <c r="DA407" s="938"/>
      <c r="DB407" s="938"/>
      <c r="DC407" s="938"/>
      <c r="DD407" s="938"/>
      <c r="DE407" s="938"/>
      <c r="DF407" s="938"/>
      <c r="DG407" s="938"/>
      <c r="DH407" s="938"/>
      <c r="DI407" s="938"/>
      <c r="DJ407" s="938"/>
      <c r="DK407" s="938"/>
      <c r="DL407" s="938"/>
      <c r="DM407" s="938"/>
      <c r="DN407" s="938"/>
      <c r="DO407" s="938"/>
      <c r="DP407" s="938"/>
      <c r="DQ407" s="938"/>
      <c r="DR407" s="938"/>
      <c r="DS407" s="938"/>
      <c r="DT407" s="938"/>
      <c r="DU407" s="938"/>
      <c r="DV407" s="938"/>
      <c r="DW407" s="938"/>
      <c r="DX407" s="938"/>
      <c r="DY407" s="938"/>
      <c r="DZ407" s="938"/>
      <c r="EA407" s="938"/>
      <c r="EB407" s="938"/>
      <c r="EC407" s="938"/>
      <c r="ED407" s="938"/>
      <c r="EE407" s="938"/>
      <c r="EF407" s="938"/>
      <c r="EG407" s="938"/>
      <c r="EH407" s="938"/>
      <c r="EI407" s="938"/>
      <c r="EJ407" s="938"/>
      <c r="EK407" s="938"/>
      <c r="EL407" s="938"/>
      <c r="EM407" s="938"/>
      <c r="EN407" s="938"/>
      <c r="EO407" s="938"/>
      <c r="EP407" s="938"/>
      <c r="EQ407" s="938"/>
      <c r="ER407" s="938"/>
      <c r="ES407" s="938"/>
      <c r="ET407" s="938"/>
      <c r="EU407" s="938"/>
      <c r="EV407" s="938"/>
      <c r="EW407" s="938"/>
      <c r="EX407" s="938"/>
      <c r="EY407" s="938"/>
      <c r="EZ407" s="938"/>
      <c r="FA407" s="938"/>
      <c r="FB407" s="938"/>
      <c r="FC407" s="938"/>
      <c r="FD407" s="938"/>
      <c r="FE407" s="938"/>
      <c r="FF407" s="938"/>
      <c r="FG407" s="938"/>
      <c r="FH407" s="938"/>
      <c r="FI407" s="938"/>
      <c r="FJ407" s="938"/>
      <c r="FK407" s="938"/>
      <c r="FL407" s="938"/>
      <c r="FM407" s="938"/>
      <c r="FN407" s="938"/>
      <c r="FO407" s="938"/>
      <c r="FP407" s="938"/>
      <c r="FQ407" s="938"/>
      <c r="FR407" s="938"/>
      <c r="FS407" s="938"/>
      <c r="FT407" s="938"/>
      <c r="FU407" s="938"/>
      <c r="FV407" s="938"/>
      <c r="FW407" s="938"/>
      <c r="FX407" s="938"/>
      <c r="FY407" s="938"/>
      <c r="FZ407" s="938"/>
      <c r="GA407" s="938"/>
      <c r="GB407" s="938"/>
      <c r="GC407" s="938"/>
      <c r="GD407" s="938"/>
      <c r="GE407" s="938"/>
      <c r="GF407" s="938"/>
      <c r="GG407" s="938"/>
      <c r="GH407" s="938"/>
      <c r="GI407" s="938"/>
      <c r="GJ407" s="938"/>
      <c r="GK407" s="938"/>
      <c r="GL407" s="938"/>
      <c r="GM407" s="938"/>
      <c r="GN407" s="938"/>
      <c r="GO407" s="938"/>
      <c r="GP407" s="938"/>
      <c r="GQ407" s="938"/>
      <c r="GR407" s="938"/>
      <c r="GS407" s="938"/>
      <c r="GT407" s="938"/>
      <c r="GU407" s="938"/>
      <c r="GV407" s="938"/>
      <c r="GW407" s="938"/>
      <c r="GX407" s="938"/>
      <c r="GY407" s="938"/>
      <c r="GZ407" s="938"/>
      <c r="HA407" s="938"/>
      <c r="HB407" s="938"/>
      <c r="HC407" s="938"/>
      <c r="HD407" s="938"/>
      <c r="HE407" s="938"/>
      <c r="HF407" s="938"/>
      <c r="HG407" s="938"/>
      <c r="HH407" s="938"/>
      <c r="HI407" s="938"/>
      <c r="HJ407" s="938"/>
      <c r="HK407" s="938"/>
      <c r="HL407" s="938"/>
      <c r="HM407" s="938"/>
      <c r="HN407" s="938"/>
      <c r="HO407" s="938"/>
      <c r="HP407" s="938"/>
      <c r="HQ407" s="938"/>
      <c r="HR407" s="938"/>
    </row>
    <row r="408" spans="1:226" s="939" customFormat="1" ht="24.95" customHeight="1">
      <c r="A408" s="1499" t="s">
        <v>935</v>
      </c>
      <c r="B408" s="1500" t="s">
        <v>990</v>
      </c>
      <c r="C408" s="1502" t="s">
        <v>5</v>
      </c>
      <c r="D408" s="1502"/>
      <c r="E408" s="954" t="s">
        <v>937</v>
      </c>
      <c r="F408" s="955">
        <f>SUM(F409,F416)</f>
        <v>8404288</v>
      </c>
      <c r="G408" s="955">
        <f>SUM(G409,G416)</f>
        <v>0</v>
      </c>
      <c r="H408" s="955">
        <f>SUM(H409,H416)</f>
        <v>8304288</v>
      </c>
      <c r="I408" s="955">
        <f>SUM(I409,I416)</f>
        <v>100000</v>
      </c>
      <c r="J408" s="937">
        <f>SUM(J409,J416)</f>
        <v>0</v>
      </c>
      <c r="K408" s="938"/>
    </row>
    <row r="409" spans="1:226" s="939" customFormat="1" ht="24.95" customHeight="1">
      <c r="A409" s="1499"/>
      <c r="B409" s="1500"/>
      <c r="C409" s="1502"/>
      <c r="D409" s="1502"/>
      <c r="E409" s="957" t="s">
        <v>440</v>
      </c>
      <c r="F409" s="958">
        <f>SUM(F410,F413)</f>
        <v>0</v>
      </c>
      <c r="G409" s="958">
        <f>SUM(G410,G413)</f>
        <v>0</v>
      </c>
      <c r="H409" s="958">
        <f>SUM(H410,H413)</f>
        <v>0</v>
      </c>
      <c r="I409" s="958">
        <f>SUM(I410,I413)</f>
        <v>0</v>
      </c>
      <c r="J409" s="942">
        <f>SUM(J410,J413)</f>
        <v>0</v>
      </c>
      <c r="K409" s="938"/>
    </row>
    <row r="410" spans="1:226" s="939" customFormat="1" ht="24.95" hidden="1" customHeight="1">
      <c r="A410" s="1499"/>
      <c r="B410" s="1500"/>
      <c r="C410" s="1502"/>
      <c r="D410" s="1502"/>
      <c r="E410" s="960" t="s">
        <v>944</v>
      </c>
      <c r="F410" s="961">
        <f>SUM(F411:F412)</f>
        <v>0</v>
      </c>
      <c r="G410" s="961">
        <f>SUM(G411:G412)</f>
        <v>0</v>
      </c>
      <c r="H410" s="961">
        <f>SUM(H411:H412)</f>
        <v>0</v>
      </c>
      <c r="I410" s="961">
        <f>SUM(I411:I412)</f>
        <v>0</v>
      </c>
      <c r="J410" s="951">
        <f>SUM(J411:J412)</f>
        <v>0</v>
      </c>
      <c r="K410" s="938"/>
    </row>
    <row r="411" spans="1:226" s="939" customFormat="1" ht="24.95" hidden="1" customHeight="1">
      <c r="A411" s="1499"/>
      <c r="B411" s="1500"/>
      <c r="C411" s="1502"/>
      <c r="D411" s="1502"/>
      <c r="E411" s="963"/>
      <c r="F411" s="964">
        <f>SUM(G411:J411)</f>
        <v>0</v>
      </c>
      <c r="G411" s="964"/>
      <c r="H411" s="964"/>
      <c r="I411" s="964"/>
      <c r="J411" s="946"/>
      <c r="K411" s="938"/>
    </row>
    <row r="412" spans="1:226" s="939" customFormat="1" ht="24.95" hidden="1" customHeight="1">
      <c r="A412" s="1499"/>
      <c r="B412" s="1500"/>
      <c r="C412" s="1502"/>
      <c r="D412" s="1502"/>
      <c r="E412" s="963"/>
      <c r="F412" s="964">
        <f>SUM(G412:J412)</f>
        <v>0</v>
      </c>
      <c r="G412" s="964"/>
      <c r="H412" s="964"/>
      <c r="I412" s="964"/>
      <c r="J412" s="946"/>
      <c r="K412" s="938"/>
    </row>
    <row r="413" spans="1:226" s="939" customFormat="1" ht="24.95" hidden="1" customHeight="1">
      <c r="A413" s="1499"/>
      <c r="B413" s="1500"/>
      <c r="C413" s="1502"/>
      <c r="D413" s="1502"/>
      <c r="E413" s="960" t="s">
        <v>945</v>
      </c>
      <c r="F413" s="961">
        <f>SUM(F414:F415)</f>
        <v>0</v>
      </c>
      <c r="G413" s="961">
        <f>SUM(G414:G415)</f>
        <v>0</v>
      </c>
      <c r="H413" s="961">
        <f>SUM(H414:H415)</f>
        <v>0</v>
      </c>
      <c r="I413" s="961">
        <f>SUM(I414:I415)</f>
        <v>0</v>
      </c>
      <c r="J413" s="951">
        <f>SUM(J414:J415)</f>
        <v>0</v>
      </c>
      <c r="K413" s="938"/>
    </row>
    <row r="414" spans="1:226" s="939" customFormat="1" ht="24.95" hidden="1" customHeight="1">
      <c r="A414" s="1499"/>
      <c r="B414" s="1500"/>
      <c r="C414" s="1502"/>
      <c r="D414" s="1502"/>
      <c r="E414" s="963"/>
      <c r="F414" s="964">
        <f>SUM(G414:J414)</f>
        <v>0</v>
      </c>
      <c r="G414" s="964"/>
      <c r="H414" s="964"/>
      <c r="I414" s="964"/>
      <c r="J414" s="946"/>
      <c r="K414" s="938"/>
    </row>
    <row r="415" spans="1:226" s="939" customFormat="1" ht="24.95" hidden="1" customHeight="1">
      <c r="A415" s="1499"/>
      <c r="B415" s="1500"/>
      <c r="C415" s="1502"/>
      <c r="D415" s="1502"/>
      <c r="E415" s="963"/>
      <c r="F415" s="964">
        <f>SUM(G415:J415)</f>
        <v>0</v>
      </c>
      <c r="G415" s="964"/>
      <c r="H415" s="964"/>
      <c r="I415" s="964"/>
      <c r="J415" s="946"/>
      <c r="K415" s="938"/>
    </row>
    <row r="416" spans="1:226" s="939" customFormat="1" ht="24.95" customHeight="1">
      <c r="A416" s="1499"/>
      <c r="B416" s="1500"/>
      <c r="C416" s="1502"/>
      <c r="D416" s="1502"/>
      <c r="E416" s="966" t="s">
        <v>939</v>
      </c>
      <c r="F416" s="958">
        <f>SUM(F417:F420)</f>
        <v>8404288</v>
      </c>
      <c r="G416" s="958">
        <f>SUM(G417:G420)</f>
        <v>0</v>
      </c>
      <c r="H416" s="958">
        <f>SUM(H417:H420)</f>
        <v>8304288</v>
      </c>
      <c r="I416" s="958">
        <f>SUM(I417:I420)</f>
        <v>100000</v>
      </c>
      <c r="J416" s="942">
        <f>SUM(J417:J420)</f>
        <v>0</v>
      </c>
      <c r="K416" s="938"/>
    </row>
    <row r="417" spans="1:226" s="939" customFormat="1" ht="15" customHeight="1">
      <c r="A417" s="1499"/>
      <c r="B417" s="1500"/>
      <c r="C417" s="1502"/>
      <c r="D417" s="963" t="s">
        <v>277</v>
      </c>
      <c r="E417" s="963" t="s">
        <v>268</v>
      </c>
      <c r="F417" s="964">
        <f>SUM(G417:J417)</f>
        <v>100000</v>
      </c>
      <c r="G417" s="964"/>
      <c r="H417" s="964"/>
      <c r="I417" s="964">
        <v>100000</v>
      </c>
      <c r="J417" s="946"/>
      <c r="K417" s="938"/>
    </row>
    <row r="418" spans="1:226" s="939" customFormat="1" ht="15" hidden="1" customHeight="1">
      <c r="A418" s="1499"/>
      <c r="B418" s="1500"/>
      <c r="C418" s="1502"/>
      <c r="D418" s="1502" t="s">
        <v>330</v>
      </c>
      <c r="E418" s="963" t="s">
        <v>268</v>
      </c>
      <c r="F418" s="964">
        <f>SUM(G418:J418)</f>
        <v>0</v>
      </c>
      <c r="G418" s="964"/>
      <c r="H418" s="964"/>
      <c r="I418" s="964"/>
      <c r="J418" s="946"/>
      <c r="K418" s="938"/>
    </row>
    <row r="419" spans="1:226" s="939" customFormat="1" ht="15" customHeight="1">
      <c r="A419" s="1499"/>
      <c r="B419" s="1500"/>
      <c r="C419" s="1502"/>
      <c r="D419" s="1502"/>
      <c r="E419" s="963" t="s">
        <v>282</v>
      </c>
      <c r="F419" s="964">
        <f>SUM(G419:J419)</f>
        <v>8304288</v>
      </c>
      <c r="G419" s="964"/>
      <c r="H419" s="964">
        <v>8304288</v>
      </c>
      <c r="I419" s="964"/>
      <c r="J419" s="946"/>
      <c r="K419" s="938"/>
      <c r="L419" s="938"/>
      <c r="M419" s="938"/>
      <c r="N419" s="938"/>
      <c r="O419" s="938"/>
      <c r="P419" s="938"/>
      <c r="Q419" s="938"/>
      <c r="R419" s="938"/>
      <c r="S419" s="938"/>
      <c r="T419" s="938"/>
      <c r="U419" s="938"/>
      <c r="V419" s="938"/>
      <c r="W419" s="938"/>
      <c r="X419" s="938"/>
      <c r="Y419" s="938"/>
      <c r="Z419" s="938"/>
      <c r="AA419" s="938"/>
      <c r="AB419" s="938"/>
      <c r="AC419" s="938"/>
      <c r="AD419" s="938"/>
      <c r="AE419" s="938"/>
      <c r="AF419" s="938"/>
      <c r="AG419" s="938"/>
      <c r="AH419" s="938"/>
      <c r="AI419" s="938"/>
      <c r="AJ419" s="938"/>
      <c r="AK419" s="938"/>
      <c r="AL419" s="938"/>
      <c r="AM419" s="938"/>
      <c r="AN419" s="938"/>
      <c r="AO419" s="938"/>
      <c r="AP419" s="938"/>
      <c r="AQ419" s="938"/>
      <c r="AR419" s="938"/>
      <c r="AS419" s="938"/>
      <c r="AT419" s="938"/>
      <c r="AU419" s="938"/>
      <c r="AV419" s="938"/>
      <c r="AW419" s="938"/>
      <c r="AX419" s="938"/>
      <c r="AY419" s="938"/>
      <c r="AZ419" s="938"/>
      <c r="BA419" s="938"/>
      <c r="BB419" s="938"/>
      <c r="BC419" s="938"/>
      <c r="BD419" s="938"/>
      <c r="BE419" s="938"/>
      <c r="BF419" s="938"/>
      <c r="BG419" s="938"/>
      <c r="BH419" s="938"/>
      <c r="BI419" s="938"/>
      <c r="BJ419" s="938"/>
      <c r="BK419" s="938"/>
      <c r="BL419" s="938"/>
      <c r="BM419" s="938"/>
      <c r="BN419" s="938"/>
      <c r="BO419" s="938"/>
      <c r="BP419" s="938"/>
      <c r="BQ419" s="938"/>
      <c r="BR419" s="938"/>
      <c r="BS419" s="938"/>
      <c r="BT419" s="938"/>
      <c r="BU419" s="938"/>
      <c r="BV419" s="938"/>
      <c r="BW419" s="938"/>
      <c r="BX419" s="938"/>
      <c r="BY419" s="938"/>
      <c r="BZ419" s="938"/>
      <c r="CA419" s="938"/>
      <c r="CB419" s="938"/>
      <c r="CC419" s="938"/>
      <c r="CD419" s="938"/>
      <c r="CE419" s="938"/>
      <c r="CF419" s="938"/>
      <c r="CG419" s="938"/>
      <c r="CH419" s="938"/>
      <c r="CI419" s="938"/>
      <c r="CJ419" s="938"/>
      <c r="CK419" s="938"/>
      <c r="CL419" s="938"/>
      <c r="CM419" s="938"/>
      <c r="CN419" s="938"/>
      <c r="CO419" s="938"/>
      <c r="CP419" s="938"/>
      <c r="CQ419" s="938"/>
      <c r="CR419" s="938"/>
      <c r="CS419" s="938"/>
      <c r="CT419" s="938"/>
      <c r="CU419" s="938"/>
      <c r="CV419" s="938"/>
      <c r="CW419" s="938"/>
      <c r="CX419" s="938"/>
      <c r="CY419" s="938"/>
      <c r="CZ419" s="938"/>
      <c r="DA419" s="938"/>
      <c r="DB419" s="938"/>
      <c r="DC419" s="938"/>
      <c r="DD419" s="938"/>
      <c r="DE419" s="938"/>
      <c r="DF419" s="938"/>
      <c r="DG419" s="938"/>
      <c r="DH419" s="938"/>
      <c r="DI419" s="938"/>
      <c r="DJ419" s="938"/>
      <c r="DK419" s="938"/>
      <c r="DL419" s="938"/>
      <c r="DM419" s="938"/>
      <c r="DN419" s="938"/>
      <c r="DO419" s="938"/>
      <c r="DP419" s="938"/>
      <c r="DQ419" s="938"/>
      <c r="DR419" s="938"/>
      <c r="DS419" s="938"/>
      <c r="DT419" s="938"/>
      <c r="DU419" s="938"/>
      <c r="DV419" s="938"/>
      <c r="DW419" s="938"/>
      <c r="DX419" s="938"/>
      <c r="DY419" s="938"/>
      <c r="DZ419" s="938"/>
      <c r="EA419" s="938"/>
      <c r="EB419" s="938"/>
      <c r="EC419" s="938"/>
      <c r="ED419" s="938"/>
      <c r="EE419" s="938"/>
      <c r="EF419" s="938"/>
      <c r="EG419" s="938"/>
      <c r="EH419" s="938"/>
      <c r="EI419" s="938"/>
      <c r="EJ419" s="938"/>
      <c r="EK419" s="938"/>
      <c r="EL419" s="938"/>
      <c r="EM419" s="938"/>
      <c r="EN419" s="938"/>
      <c r="EO419" s="938"/>
      <c r="EP419" s="938"/>
      <c r="EQ419" s="938"/>
      <c r="ER419" s="938"/>
      <c r="ES419" s="938"/>
      <c r="ET419" s="938"/>
      <c r="EU419" s="938"/>
      <c r="EV419" s="938"/>
      <c r="EW419" s="938"/>
      <c r="EX419" s="938"/>
      <c r="EY419" s="938"/>
      <c r="EZ419" s="938"/>
      <c r="FA419" s="938"/>
      <c r="FB419" s="938"/>
      <c r="FC419" s="938"/>
      <c r="FD419" s="938"/>
      <c r="FE419" s="938"/>
      <c r="FF419" s="938"/>
      <c r="FG419" s="938"/>
      <c r="FH419" s="938"/>
      <c r="FI419" s="938"/>
      <c r="FJ419" s="938"/>
      <c r="FK419" s="938"/>
      <c r="FL419" s="938"/>
      <c r="FM419" s="938"/>
      <c r="FN419" s="938"/>
      <c r="FO419" s="938"/>
      <c r="FP419" s="938"/>
      <c r="FQ419" s="938"/>
      <c r="FR419" s="938"/>
      <c r="FS419" s="938"/>
      <c r="FT419" s="938"/>
      <c r="FU419" s="938"/>
      <c r="FV419" s="938"/>
      <c r="FW419" s="938"/>
      <c r="FX419" s="938"/>
      <c r="FY419" s="938"/>
      <c r="FZ419" s="938"/>
      <c r="GA419" s="938"/>
      <c r="GB419" s="938"/>
      <c r="GC419" s="938"/>
      <c r="GD419" s="938"/>
      <c r="GE419" s="938"/>
      <c r="GF419" s="938"/>
      <c r="GG419" s="938"/>
      <c r="GH419" s="938"/>
      <c r="GI419" s="938"/>
      <c r="GJ419" s="938"/>
      <c r="GK419" s="938"/>
      <c r="GL419" s="938"/>
      <c r="GM419" s="938"/>
      <c r="GN419" s="938"/>
      <c r="GO419" s="938"/>
      <c r="GP419" s="938"/>
      <c r="GQ419" s="938"/>
      <c r="GR419" s="938"/>
      <c r="GS419" s="938"/>
      <c r="GT419" s="938"/>
      <c r="GU419" s="938"/>
      <c r="GV419" s="938"/>
      <c r="GW419" s="938"/>
      <c r="GX419" s="938"/>
      <c r="GY419" s="938"/>
      <c r="GZ419" s="938"/>
      <c r="HA419" s="938"/>
      <c r="HB419" s="938"/>
      <c r="HC419" s="938"/>
      <c r="HD419" s="938"/>
      <c r="HE419" s="938"/>
      <c r="HF419" s="938"/>
      <c r="HG419" s="938"/>
      <c r="HH419" s="938"/>
      <c r="HI419" s="938"/>
      <c r="HJ419" s="938"/>
      <c r="HK419" s="938"/>
      <c r="HL419" s="938"/>
      <c r="HM419" s="938"/>
      <c r="HN419" s="938"/>
      <c r="HO419" s="938"/>
      <c r="HP419" s="938"/>
      <c r="HQ419" s="938"/>
      <c r="HR419" s="938"/>
    </row>
    <row r="420" spans="1:226" s="939" customFormat="1" ht="15" hidden="1" customHeight="1">
      <c r="A420" s="1499"/>
      <c r="B420" s="1500"/>
      <c r="C420" s="1502"/>
      <c r="D420" s="1502"/>
      <c r="E420" s="975">
        <v>6059</v>
      </c>
      <c r="F420" s="964">
        <f>SUM(G420:J420)</f>
        <v>0</v>
      </c>
      <c r="G420" s="964"/>
      <c r="H420" s="964"/>
      <c r="I420" s="964"/>
      <c r="J420" s="946"/>
      <c r="K420" s="938"/>
    </row>
    <row r="421" spans="1:226" s="939" customFormat="1" ht="24.95" customHeight="1">
      <c r="A421" s="1499" t="s">
        <v>948</v>
      </c>
      <c r="B421" s="1500" t="s">
        <v>991</v>
      </c>
      <c r="C421" s="1502" t="s">
        <v>5</v>
      </c>
      <c r="D421" s="1502" t="s">
        <v>277</v>
      </c>
      <c r="E421" s="954" t="s">
        <v>937</v>
      </c>
      <c r="F421" s="955">
        <f>SUM(F422,F429)</f>
        <v>299872</v>
      </c>
      <c r="G421" s="955">
        <f>SUM(G422,G429)</f>
        <v>0</v>
      </c>
      <c r="H421" s="955">
        <f>SUM(H422,H429)</f>
        <v>181629</v>
      </c>
      <c r="I421" s="955">
        <f>SUM(I422,I429)</f>
        <v>118243</v>
      </c>
      <c r="J421" s="937">
        <f>SUM(J422,J429)</f>
        <v>0</v>
      </c>
      <c r="K421" s="938"/>
    </row>
    <row r="422" spans="1:226" s="939" customFormat="1" ht="24.95" customHeight="1">
      <c r="A422" s="1499"/>
      <c r="B422" s="1500"/>
      <c r="C422" s="1502"/>
      <c r="D422" s="1502"/>
      <c r="E422" s="957" t="s">
        <v>440</v>
      </c>
      <c r="F422" s="958">
        <f>SUM(F423,F426)</f>
        <v>0</v>
      </c>
      <c r="G422" s="958">
        <f>SUM(G423,G426)</f>
        <v>0</v>
      </c>
      <c r="H422" s="958">
        <f>SUM(H423,H426)</f>
        <v>0</v>
      </c>
      <c r="I422" s="958">
        <f>SUM(I423,I426)</f>
        <v>0</v>
      </c>
      <c r="J422" s="942">
        <f>SUM(J423,J426)</f>
        <v>0</v>
      </c>
      <c r="K422" s="938"/>
      <c r="L422" s="938"/>
      <c r="M422" s="938"/>
      <c r="N422" s="938"/>
      <c r="O422" s="938"/>
      <c r="P422" s="938"/>
      <c r="Q422" s="938"/>
      <c r="R422" s="938"/>
      <c r="S422" s="938"/>
      <c r="T422" s="938"/>
      <c r="U422" s="938"/>
      <c r="V422" s="938"/>
      <c r="W422" s="938"/>
      <c r="X422" s="938"/>
      <c r="Y422" s="938"/>
      <c r="Z422" s="938"/>
      <c r="AA422" s="938"/>
      <c r="AB422" s="938"/>
      <c r="AC422" s="938"/>
      <c r="AD422" s="938"/>
      <c r="AE422" s="938"/>
      <c r="AF422" s="938"/>
      <c r="AG422" s="938"/>
      <c r="AH422" s="938"/>
      <c r="AI422" s="938"/>
      <c r="AJ422" s="938"/>
      <c r="AK422" s="938"/>
      <c r="AL422" s="938"/>
      <c r="AM422" s="938"/>
      <c r="AN422" s="938"/>
      <c r="AO422" s="938"/>
      <c r="AP422" s="938"/>
      <c r="AQ422" s="938"/>
      <c r="AR422" s="938"/>
      <c r="AS422" s="938"/>
      <c r="AT422" s="938"/>
      <c r="AU422" s="938"/>
      <c r="AV422" s="938"/>
      <c r="AW422" s="938"/>
      <c r="AX422" s="938"/>
      <c r="AY422" s="938"/>
      <c r="AZ422" s="938"/>
      <c r="BA422" s="938"/>
      <c r="BB422" s="938"/>
      <c r="BC422" s="938"/>
      <c r="BD422" s="938"/>
      <c r="BE422" s="938"/>
      <c r="BF422" s="938"/>
      <c r="BG422" s="938"/>
      <c r="BH422" s="938"/>
      <c r="BI422" s="938"/>
      <c r="BJ422" s="938"/>
      <c r="BK422" s="938"/>
      <c r="BL422" s="938"/>
      <c r="BM422" s="938"/>
      <c r="BN422" s="938"/>
      <c r="BO422" s="938"/>
      <c r="BP422" s="938"/>
      <c r="BQ422" s="938"/>
      <c r="BR422" s="938"/>
      <c r="BS422" s="938"/>
      <c r="BT422" s="938"/>
      <c r="BU422" s="938"/>
      <c r="BV422" s="938"/>
      <c r="BW422" s="938"/>
      <c r="BX422" s="938"/>
      <c r="BY422" s="938"/>
      <c r="BZ422" s="938"/>
      <c r="CA422" s="938"/>
      <c r="CB422" s="938"/>
      <c r="CC422" s="938"/>
      <c r="CD422" s="938"/>
      <c r="CE422" s="938"/>
      <c r="CF422" s="938"/>
      <c r="CG422" s="938"/>
      <c r="CH422" s="938"/>
      <c r="CI422" s="938"/>
      <c r="CJ422" s="938"/>
      <c r="CK422" s="938"/>
      <c r="CL422" s="938"/>
      <c r="CM422" s="938"/>
      <c r="CN422" s="938"/>
      <c r="CO422" s="938"/>
      <c r="CP422" s="938"/>
      <c r="CQ422" s="938"/>
      <c r="CR422" s="938"/>
      <c r="CS422" s="938"/>
      <c r="CT422" s="938"/>
      <c r="CU422" s="938"/>
      <c r="CV422" s="938"/>
      <c r="CW422" s="938"/>
      <c r="CX422" s="938"/>
      <c r="CY422" s="938"/>
      <c r="CZ422" s="938"/>
      <c r="DA422" s="938"/>
      <c r="DB422" s="938"/>
      <c r="DC422" s="938"/>
      <c r="DD422" s="938"/>
      <c r="DE422" s="938"/>
      <c r="DF422" s="938"/>
      <c r="DG422" s="938"/>
      <c r="DH422" s="938"/>
      <c r="DI422" s="938"/>
      <c r="DJ422" s="938"/>
      <c r="DK422" s="938"/>
      <c r="DL422" s="938"/>
      <c r="DM422" s="938"/>
      <c r="DN422" s="938"/>
      <c r="DO422" s="938"/>
      <c r="DP422" s="938"/>
      <c r="DQ422" s="938"/>
      <c r="DR422" s="938"/>
      <c r="DS422" s="938"/>
      <c r="DT422" s="938"/>
      <c r="DU422" s="938"/>
      <c r="DV422" s="938"/>
      <c r="DW422" s="938"/>
      <c r="DX422" s="938"/>
      <c r="DY422" s="938"/>
      <c r="DZ422" s="938"/>
      <c r="EA422" s="938"/>
      <c r="EB422" s="938"/>
      <c r="EC422" s="938"/>
      <c r="ED422" s="938"/>
      <c r="EE422" s="938"/>
      <c r="EF422" s="938"/>
      <c r="EG422" s="938"/>
      <c r="EH422" s="938"/>
      <c r="EI422" s="938"/>
      <c r="EJ422" s="938"/>
      <c r="EK422" s="938"/>
      <c r="EL422" s="938"/>
      <c r="EM422" s="938"/>
      <c r="EN422" s="938"/>
      <c r="EO422" s="938"/>
      <c r="EP422" s="938"/>
      <c r="EQ422" s="938"/>
      <c r="ER422" s="938"/>
      <c r="ES422" s="938"/>
      <c r="ET422" s="938"/>
      <c r="EU422" s="938"/>
      <c r="EV422" s="938"/>
      <c r="EW422" s="938"/>
      <c r="EX422" s="938"/>
      <c r="EY422" s="938"/>
      <c r="EZ422" s="938"/>
      <c r="FA422" s="938"/>
      <c r="FB422" s="938"/>
      <c r="FC422" s="938"/>
      <c r="FD422" s="938"/>
      <c r="FE422" s="938"/>
      <c r="FF422" s="938"/>
      <c r="FG422" s="938"/>
      <c r="FH422" s="938"/>
      <c r="FI422" s="938"/>
      <c r="FJ422" s="938"/>
      <c r="FK422" s="938"/>
      <c r="FL422" s="938"/>
      <c r="FM422" s="938"/>
      <c r="FN422" s="938"/>
      <c r="FO422" s="938"/>
      <c r="FP422" s="938"/>
      <c r="FQ422" s="938"/>
      <c r="FR422" s="938"/>
      <c r="FS422" s="938"/>
      <c r="FT422" s="938"/>
      <c r="FU422" s="938"/>
      <c r="FV422" s="938"/>
      <c r="FW422" s="938"/>
      <c r="FX422" s="938"/>
      <c r="FY422" s="938"/>
      <c r="FZ422" s="938"/>
      <c r="GA422" s="938"/>
      <c r="GB422" s="938"/>
      <c r="GC422" s="938"/>
      <c r="GD422" s="938"/>
      <c r="GE422" s="938"/>
      <c r="GF422" s="938"/>
      <c r="GG422" s="938"/>
      <c r="GH422" s="938"/>
      <c r="GI422" s="938"/>
      <c r="GJ422" s="938"/>
      <c r="GK422" s="938"/>
      <c r="GL422" s="938"/>
      <c r="GM422" s="938"/>
      <c r="GN422" s="938"/>
      <c r="GO422" s="938"/>
      <c r="GP422" s="938"/>
      <c r="GQ422" s="938"/>
      <c r="GR422" s="938"/>
      <c r="GS422" s="938"/>
      <c r="GT422" s="938"/>
      <c r="GU422" s="938"/>
      <c r="GV422" s="938"/>
      <c r="GW422" s="938"/>
      <c r="GX422" s="938"/>
      <c r="GY422" s="938"/>
      <c r="GZ422" s="938"/>
      <c r="HA422" s="938"/>
      <c r="HB422" s="938"/>
      <c r="HC422" s="938"/>
      <c r="HD422" s="938"/>
      <c r="HE422" s="938"/>
      <c r="HF422" s="938"/>
      <c r="HG422" s="938"/>
      <c r="HH422" s="938"/>
      <c r="HI422" s="938"/>
      <c r="HJ422" s="938"/>
      <c r="HK422" s="938"/>
      <c r="HL422" s="938"/>
      <c r="HM422" s="938"/>
      <c r="HN422" s="938"/>
      <c r="HO422" s="938"/>
      <c r="HP422" s="938"/>
      <c r="HQ422" s="938"/>
      <c r="HR422" s="938"/>
    </row>
    <row r="423" spans="1:226" s="939" customFormat="1" ht="24.95" hidden="1" customHeight="1">
      <c r="A423" s="1499"/>
      <c r="B423" s="1500"/>
      <c r="C423" s="1502"/>
      <c r="D423" s="1502"/>
      <c r="E423" s="960" t="s">
        <v>944</v>
      </c>
      <c r="F423" s="961">
        <f>SUM(F424:F425)</f>
        <v>0</v>
      </c>
      <c r="G423" s="961">
        <f>SUM(G424:G425)</f>
        <v>0</v>
      </c>
      <c r="H423" s="961">
        <f>SUM(H424:H425)</f>
        <v>0</v>
      </c>
      <c r="I423" s="961">
        <f>SUM(I424:I425)</f>
        <v>0</v>
      </c>
      <c r="J423" s="951">
        <f>SUM(J424:J425)</f>
        <v>0</v>
      </c>
      <c r="K423" s="938"/>
    </row>
    <row r="424" spans="1:226" s="939" customFormat="1" ht="24.95" hidden="1" customHeight="1">
      <c r="A424" s="1499"/>
      <c r="B424" s="1500"/>
      <c r="C424" s="1502"/>
      <c r="D424" s="1502"/>
      <c r="E424" s="963"/>
      <c r="F424" s="964">
        <f>SUM(G424:J424)</f>
        <v>0</v>
      </c>
      <c r="G424" s="964"/>
      <c r="H424" s="964"/>
      <c r="I424" s="964"/>
      <c r="J424" s="946"/>
      <c r="K424" s="938"/>
    </row>
    <row r="425" spans="1:226" s="939" customFormat="1" ht="24.95" hidden="1" customHeight="1">
      <c r="A425" s="1499"/>
      <c r="B425" s="1500"/>
      <c r="C425" s="1502"/>
      <c r="D425" s="1502"/>
      <c r="E425" s="963"/>
      <c r="F425" s="964">
        <f>SUM(G425:J425)</f>
        <v>0</v>
      </c>
      <c r="G425" s="964"/>
      <c r="H425" s="964"/>
      <c r="I425" s="964"/>
      <c r="J425" s="946"/>
      <c r="K425" s="938"/>
    </row>
    <row r="426" spans="1:226" s="939" customFormat="1" ht="24.95" hidden="1" customHeight="1">
      <c r="A426" s="1499"/>
      <c r="B426" s="1500"/>
      <c r="C426" s="1502"/>
      <c r="D426" s="1502"/>
      <c r="E426" s="960" t="s">
        <v>945</v>
      </c>
      <c r="F426" s="961">
        <f>SUM(F427:F428)</f>
        <v>0</v>
      </c>
      <c r="G426" s="961">
        <f>SUM(G427:G428)</f>
        <v>0</v>
      </c>
      <c r="H426" s="961">
        <f>SUM(H427:H428)</f>
        <v>0</v>
      </c>
      <c r="I426" s="961">
        <f>SUM(I427:I428)</f>
        <v>0</v>
      </c>
      <c r="J426" s="951">
        <f>SUM(J427:J428)</f>
        <v>0</v>
      </c>
      <c r="K426" s="938"/>
    </row>
    <row r="427" spans="1:226" s="939" customFormat="1" ht="24.95" hidden="1" customHeight="1">
      <c r="A427" s="1499"/>
      <c r="B427" s="1500"/>
      <c r="C427" s="1502"/>
      <c r="D427" s="1502"/>
      <c r="E427" s="963"/>
      <c r="F427" s="964">
        <f>SUM(G427:J427)</f>
        <v>0</v>
      </c>
      <c r="G427" s="964"/>
      <c r="H427" s="964"/>
      <c r="I427" s="964"/>
      <c r="J427" s="946"/>
      <c r="K427" s="938"/>
    </row>
    <row r="428" spans="1:226" s="939" customFormat="1" ht="24.95" hidden="1" customHeight="1">
      <c r="A428" s="1499"/>
      <c r="B428" s="1500"/>
      <c r="C428" s="1502"/>
      <c r="D428" s="1502"/>
      <c r="E428" s="963"/>
      <c r="F428" s="964">
        <f>SUM(G428:J428)</f>
        <v>0</v>
      </c>
      <c r="G428" s="964"/>
      <c r="H428" s="964"/>
      <c r="I428" s="964"/>
      <c r="J428" s="946"/>
      <c r="K428" s="938"/>
    </row>
    <row r="429" spans="1:226" s="939" customFormat="1" ht="24.95" customHeight="1">
      <c r="A429" s="1499"/>
      <c r="B429" s="1500"/>
      <c r="C429" s="1502"/>
      <c r="D429" s="1502"/>
      <c r="E429" s="966" t="s">
        <v>939</v>
      </c>
      <c r="F429" s="958">
        <f>SUM(F430:F433)</f>
        <v>299872</v>
      </c>
      <c r="G429" s="958">
        <f>SUM(G430:G433)</f>
        <v>0</v>
      </c>
      <c r="H429" s="958">
        <f>SUM(H430:H433)</f>
        <v>181629</v>
      </c>
      <c r="I429" s="958">
        <f>SUM(I430:I433)</f>
        <v>118243</v>
      </c>
      <c r="J429" s="942">
        <f>SUM(J430:J433)</f>
        <v>0</v>
      </c>
      <c r="K429" s="938"/>
    </row>
    <row r="430" spans="1:226" s="939" customFormat="1" ht="15" customHeight="1">
      <c r="A430" s="1499"/>
      <c r="B430" s="1500"/>
      <c r="C430" s="1502"/>
      <c r="D430" s="1502"/>
      <c r="E430" s="963" t="s">
        <v>268</v>
      </c>
      <c r="F430" s="964">
        <f>SUM(G430:J430)</f>
        <v>57700</v>
      </c>
      <c r="G430" s="964"/>
      <c r="H430" s="964"/>
      <c r="I430" s="964">
        <v>57700</v>
      </c>
      <c r="J430" s="946"/>
      <c r="K430" s="938"/>
    </row>
    <row r="431" spans="1:226" s="939" customFormat="1" ht="15" customHeight="1">
      <c r="A431" s="1499"/>
      <c r="B431" s="1500"/>
      <c r="C431" s="1502"/>
      <c r="D431" s="1502"/>
      <c r="E431" s="963" t="s">
        <v>282</v>
      </c>
      <c r="F431" s="964">
        <f>SUM(G431:J431)</f>
        <v>181629</v>
      </c>
      <c r="G431" s="964"/>
      <c r="H431" s="964">
        <v>181629</v>
      </c>
      <c r="I431" s="964"/>
      <c r="J431" s="946"/>
      <c r="K431" s="938"/>
    </row>
    <row r="432" spans="1:226" s="939" customFormat="1" ht="15" customHeight="1">
      <c r="A432" s="1499"/>
      <c r="B432" s="1500"/>
      <c r="C432" s="1502"/>
      <c r="D432" s="1502"/>
      <c r="E432" s="975">
        <v>6059</v>
      </c>
      <c r="F432" s="964">
        <f>SUM(G432:J432)</f>
        <v>60543</v>
      </c>
      <c r="G432" s="964"/>
      <c r="H432" s="964"/>
      <c r="I432" s="964">
        <v>60543</v>
      </c>
      <c r="J432" s="946"/>
      <c r="K432" s="938"/>
    </row>
    <row r="433" spans="1:11" s="939" customFormat="1" ht="15" hidden="1" customHeight="1">
      <c r="A433" s="1499"/>
      <c r="B433" s="1500"/>
      <c r="C433" s="1502"/>
      <c r="D433" s="963" t="s">
        <v>330</v>
      </c>
      <c r="E433" s="975">
        <v>6050</v>
      </c>
      <c r="F433" s="964">
        <f>SUM(G433:J433)</f>
        <v>0</v>
      </c>
      <c r="G433" s="964"/>
      <c r="H433" s="964"/>
      <c r="I433" s="964"/>
      <c r="J433" s="946"/>
      <c r="K433" s="938"/>
    </row>
    <row r="434" spans="1:11" s="939" customFormat="1" ht="24.95" customHeight="1">
      <c r="A434" s="1499" t="s">
        <v>950</v>
      </c>
      <c r="B434" s="1500" t="s">
        <v>992</v>
      </c>
      <c r="C434" s="1502" t="s">
        <v>5</v>
      </c>
      <c r="D434" s="1502" t="s">
        <v>277</v>
      </c>
      <c r="E434" s="954" t="s">
        <v>937</v>
      </c>
      <c r="F434" s="955">
        <f>SUM(F435,F442)</f>
        <v>10974104</v>
      </c>
      <c r="G434" s="955">
        <f>SUM(G435,G442)</f>
        <v>0</v>
      </c>
      <c r="H434" s="955">
        <f>SUM(H435,H442)</f>
        <v>6496404</v>
      </c>
      <c r="I434" s="955">
        <f>SUM(I435,I442)</f>
        <v>4477700</v>
      </c>
      <c r="J434" s="937">
        <f>SUM(J435,J442)</f>
        <v>0</v>
      </c>
      <c r="K434" s="938"/>
    </row>
    <row r="435" spans="1:11" s="939" customFormat="1" ht="24.95" customHeight="1">
      <c r="A435" s="1499"/>
      <c r="B435" s="1500"/>
      <c r="C435" s="1502"/>
      <c r="D435" s="1502"/>
      <c r="E435" s="957" t="s">
        <v>440</v>
      </c>
      <c r="F435" s="958">
        <f>SUM(F436,F439)</f>
        <v>0</v>
      </c>
      <c r="G435" s="958">
        <f>SUM(G436,G439)</f>
        <v>0</v>
      </c>
      <c r="H435" s="958">
        <f>SUM(H436,H439)</f>
        <v>0</v>
      </c>
      <c r="I435" s="958">
        <f>SUM(I436,I439)</f>
        <v>0</v>
      </c>
      <c r="J435" s="942">
        <f>SUM(J436,J439)</f>
        <v>0</v>
      </c>
      <c r="K435" s="938"/>
    </row>
    <row r="436" spans="1:11" s="939" customFormat="1" ht="24.95" hidden="1" customHeight="1">
      <c r="A436" s="1499"/>
      <c r="B436" s="1500"/>
      <c r="C436" s="1502"/>
      <c r="D436" s="1502"/>
      <c r="E436" s="960" t="s">
        <v>944</v>
      </c>
      <c r="F436" s="961">
        <f>SUM(F437:F438)</f>
        <v>0</v>
      </c>
      <c r="G436" s="961">
        <f>SUM(G437:G438)</f>
        <v>0</v>
      </c>
      <c r="H436" s="961">
        <f>SUM(H437:H438)</f>
        <v>0</v>
      </c>
      <c r="I436" s="961">
        <f>SUM(I437:I438)</f>
        <v>0</v>
      </c>
      <c r="J436" s="951">
        <f>SUM(J437:J438)</f>
        <v>0</v>
      </c>
      <c r="K436" s="938"/>
    </row>
    <row r="437" spans="1:11" s="939" customFormat="1" ht="24.95" hidden="1" customHeight="1">
      <c r="A437" s="1499"/>
      <c r="B437" s="1500"/>
      <c r="C437" s="1502"/>
      <c r="D437" s="1502"/>
      <c r="E437" s="963"/>
      <c r="F437" s="964">
        <f>SUM(G437:J437)</f>
        <v>0</v>
      </c>
      <c r="G437" s="964"/>
      <c r="H437" s="964"/>
      <c r="I437" s="964"/>
      <c r="J437" s="946"/>
      <c r="K437" s="938"/>
    </row>
    <row r="438" spans="1:11" s="939" customFormat="1" ht="24.95" hidden="1" customHeight="1">
      <c r="A438" s="1499"/>
      <c r="B438" s="1500"/>
      <c r="C438" s="1502"/>
      <c r="D438" s="1502"/>
      <c r="E438" s="963"/>
      <c r="F438" s="964">
        <f>SUM(G438:J438)</f>
        <v>0</v>
      </c>
      <c r="G438" s="964"/>
      <c r="H438" s="964"/>
      <c r="I438" s="964"/>
      <c r="J438" s="946"/>
      <c r="K438" s="938"/>
    </row>
    <row r="439" spans="1:11" s="939" customFormat="1" ht="24.95" hidden="1" customHeight="1">
      <c r="A439" s="1499"/>
      <c r="B439" s="1500"/>
      <c r="C439" s="1502"/>
      <c r="D439" s="1502"/>
      <c r="E439" s="960" t="s">
        <v>945</v>
      </c>
      <c r="F439" s="961">
        <f>SUM(F440:F441)</f>
        <v>0</v>
      </c>
      <c r="G439" s="961">
        <f>SUM(G440:G441)</f>
        <v>0</v>
      </c>
      <c r="H439" s="961">
        <f>SUM(H440:H441)</f>
        <v>0</v>
      </c>
      <c r="I439" s="961">
        <f>SUM(I440:I441)</f>
        <v>0</v>
      </c>
      <c r="J439" s="951">
        <f>SUM(J440:J441)</f>
        <v>0</v>
      </c>
      <c r="K439" s="938"/>
    </row>
    <row r="440" spans="1:11" s="939" customFormat="1" ht="24.95" hidden="1" customHeight="1">
      <c r="A440" s="1499"/>
      <c r="B440" s="1500"/>
      <c r="C440" s="1502"/>
      <c r="D440" s="1502"/>
      <c r="E440" s="963"/>
      <c r="F440" s="964">
        <f>SUM(G440:J440)</f>
        <v>0</v>
      </c>
      <c r="G440" s="964"/>
      <c r="H440" s="964"/>
      <c r="I440" s="964"/>
      <c r="J440" s="946"/>
      <c r="K440" s="938"/>
    </row>
    <row r="441" spans="1:11" s="939" customFormat="1" ht="24.95" hidden="1" customHeight="1">
      <c r="A441" s="1499"/>
      <c r="B441" s="1500"/>
      <c r="C441" s="1502"/>
      <c r="D441" s="1502"/>
      <c r="E441" s="963"/>
      <c r="F441" s="964">
        <f>SUM(G441:J441)</f>
        <v>0</v>
      </c>
      <c r="G441" s="964"/>
      <c r="H441" s="964"/>
      <c r="I441" s="964"/>
      <c r="J441" s="946"/>
      <c r="K441" s="938"/>
    </row>
    <row r="442" spans="1:11" s="939" customFormat="1" ht="24.95" customHeight="1">
      <c r="A442" s="1499"/>
      <c r="B442" s="1500"/>
      <c r="C442" s="1502"/>
      <c r="D442" s="1502"/>
      <c r="E442" s="966" t="s">
        <v>939</v>
      </c>
      <c r="F442" s="958">
        <f>SUM(F443:F445)</f>
        <v>10974104</v>
      </c>
      <c r="G442" s="958">
        <f>SUM(G443:G445)</f>
        <v>0</v>
      </c>
      <c r="H442" s="958">
        <f>SUM(H443:H445)</f>
        <v>6496404</v>
      </c>
      <c r="I442" s="958">
        <f>SUM(I443:I445)</f>
        <v>4477700</v>
      </c>
      <c r="J442" s="942">
        <f>SUM(J443:J445)</f>
        <v>0</v>
      </c>
      <c r="K442" s="938"/>
    </row>
    <row r="443" spans="1:11" s="939" customFormat="1" ht="15" customHeight="1">
      <c r="A443" s="1499"/>
      <c r="B443" s="1500"/>
      <c r="C443" s="1502"/>
      <c r="D443" s="1502"/>
      <c r="E443" s="963" t="s">
        <v>268</v>
      </c>
      <c r="F443" s="964">
        <f>SUM(G443:J443)</f>
        <v>2312231</v>
      </c>
      <c r="G443" s="964"/>
      <c r="H443" s="964"/>
      <c r="I443" s="964">
        <v>2312231</v>
      </c>
      <c r="J443" s="946"/>
      <c r="K443" s="938"/>
    </row>
    <row r="444" spans="1:11" s="939" customFormat="1" ht="15" customHeight="1">
      <c r="A444" s="1499"/>
      <c r="B444" s="1500"/>
      <c r="C444" s="1502"/>
      <c r="D444" s="1502"/>
      <c r="E444" s="963" t="s">
        <v>282</v>
      </c>
      <c r="F444" s="964">
        <f>SUM(G444:J444)</f>
        <v>6496404</v>
      </c>
      <c r="G444" s="964"/>
      <c r="H444" s="964">
        <v>6496404</v>
      </c>
      <c r="I444" s="964"/>
      <c r="J444" s="946"/>
      <c r="K444" s="938"/>
    </row>
    <row r="445" spans="1:11" s="939" customFormat="1" ht="15" customHeight="1">
      <c r="A445" s="1499"/>
      <c r="B445" s="1500"/>
      <c r="C445" s="1502"/>
      <c r="D445" s="1502"/>
      <c r="E445" s="975">
        <v>6059</v>
      </c>
      <c r="F445" s="964">
        <f>SUM(G445:J445)</f>
        <v>2165469</v>
      </c>
      <c r="G445" s="964"/>
      <c r="H445" s="964"/>
      <c r="I445" s="964">
        <v>2165469</v>
      </c>
      <c r="J445" s="946"/>
      <c r="K445" s="938"/>
    </row>
    <row r="446" spans="1:11" s="939" customFormat="1" ht="24.95" customHeight="1">
      <c r="A446" s="1499" t="s">
        <v>952</v>
      </c>
      <c r="B446" s="1500" t="s">
        <v>993</v>
      </c>
      <c r="C446" s="1502" t="s">
        <v>5</v>
      </c>
      <c r="D446" s="1502" t="s">
        <v>277</v>
      </c>
      <c r="E446" s="954" t="s">
        <v>937</v>
      </c>
      <c r="F446" s="955">
        <f>SUM(F447,F454)</f>
        <v>3974000</v>
      </c>
      <c r="G446" s="955">
        <f>SUM(G447,G454)</f>
        <v>0</v>
      </c>
      <c r="H446" s="955">
        <f>SUM(H447,H454)</f>
        <v>2429000</v>
      </c>
      <c r="I446" s="955">
        <f>SUM(I447,I454)</f>
        <v>1545000</v>
      </c>
      <c r="J446" s="937">
        <f>SUM(J447,J454)</f>
        <v>0</v>
      </c>
      <c r="K446" s="938"/>
    </row>
    <row r="447" spans="1:11" s="939" customFormat="1" ht="24.95" customHeight="1">
      <c r="A447" s="1499"/>
      <c r="B447" s="1500"/>
      <c r="C447" s="1502"/>
      <c r="D447" s="1502"/>
      <c r="E447" s="957" t="s">
        <v>440</v>
      </c>
      <c r="F447" s="958">
        <f>SUM(F448,F451)</f>
        <v>0</v>
      </c>
      <c r="G447" s="958">
        <f>SUM(G448,G451)</f>
        <v>0</v>
      </c>
      <c r="H447" s="958">
        <f>SUM(H448,H451)</f>
        <v>0</v>
      </c>
      <c r="I447" s="958">
        <f>SUM(I448,I451)</f>
        <v>0</v>
      </c>
      <c r="J447" s="942">
        <f>SUM(J448,J451)</f>
        <v>0</v>
      </c>
      <c r="K447" s="938"/>
    </row>
    <row r="448" spans="1:11" s="939" customFormat="1" ht="24.95" hidden="1" customHeight="1">
      <c r="A448" s="1499"/>
      <c r="B448" s="1500"/>
      <c r="C448" s="1502"/>
      <c r="D448" s="1502"/>
      <c r="E448" s="960" t="s">
        <v>944</v>
      </c>
      <c r="F448" s="961">
        <f>SUM(F449:F450)</f>
        <v>0</v>
      </c>
      <c r="G448" s="961">
        <f>SUM(G449:G450)</f>
        <v>0</v>
      </c>
      <c r="H448" s="961">
        <f>SUM(H449:H450)</f>
        <v>0</v>
      </c>
      <c r="I448" s="961">
        <f>SUM(I449:I450)</f>
        <v>0</v>
      </c>
      <c r="J448" s="951">
        <f>SUM(J449:J450)</f>
        <v>0</v>
      </c>
      <c r="K448" s="938"/>
    </row>
    <row r="449" spans="1:226" s="939" customFormat="1" ht="24.95" hidden="1" customHeight="1">
      <c r="A449" s="1499"/>
      <c r="B449" s="1500"/>
      <c r="C449" s="1502"/>
      <c r="D449" s="1502"/>
      <c r="E449" s="963"/>
      <c r="F449" s="964">
        <f>SUM(G449:J449)</f>
        <v>0</v>
      </c>
      <c r="G449" s="964"/>
      <c r="H449" s="964"/>
      <c r="I449" s="964"/>
      <c r="J449" s="946"/>
      <c r="K449" s="938"/>
    </row>
    <row r="450" spans="1:226" s="939" customFormat="1" ht="24.95" hidden="1" customHeight="1">
      <c r="A450" s="1499"/>
      <c r="B450" s="1500"/>
      <c r="C450" s="1502"/>
      <c r="D450" s="1502"/>
      <c r="E450" s="963"/>
      <c r="F450" s="964">
        <f>SUM(G450:J450)</f>
        <v>0</v>
      </c>
      <c r="G450" s="964"/>
      <c r="H450" s="964"/>
      <c r="I450" s="964"/>
      <c r="J450" s="946"/>
      <c r="K450" s="938"/>
    </row>
    <row r="451" spans="1:226" s="939" customFormat="1" ht="24.95" hidden="1" customHeight="1">
      <c r="A451" s="1499"/>
      <c r="B451" s="1500"/>
      <c r="C451" s="1502"/>
      <c r="D451" s="1502"/>
      <c r="E451" s="960" t="s">
        <v>945</v>
      </c>
      <c r="F451" s="961">
        <f>SUM(F452:F453)</f>
        <v>0</v>
      </c>
      <c r="G451" s="961">
        <f>SUM(G452:G453)</f>
        <v>0</v>
      </c>
      <c r="H451" s="961">
        <f>SUM(H452:H453)</f>
        <v>0</v>
      </c>
      <c r="I451" s="961">
        <f>SUM(I452:I453)</f>
        <v>0</v>
      </c>
      <c r="J451" s="951">
        <f>SUM(J452:J453)</f>
        <v>0</v>
      </c>
      <c r="K451" s="938"/>
    </row>
    <row r="452" spans="1:226" s="939" customFormat="1" ht="24.95" hidden="1" customHeight="1">
      <c r="A452" s="1499"/>
      <c r="B452" s="1500"/>
      <c r="C452" s="1502"/>
      <c r="D452" s="1502"/>
      <c r="E452" s="963"/>
      <c r="F452" s="964">
        <f>SUM(G452:J452)</f>
        <v>0</v>
      </c>
      <c r="G452" s="964"/>
      <c r="H452" s="964"/>
      <c r="I452" s="964"/>
      <c r="J452" s="946"/>
      <c r="K452" s="938"/>
    </row>
    <row r="453" spans="1:226" s="939" customFormat="1" ht="24.95" hidden="1" customHeight="1">
      <c r="A453" s="1499"/>
      <c r="B453" s="1500"/>
      <c r="C453" s="1502"/>
      <c r="D453" s="1502"/>
      <c r="E453" s="963"/>
      <c r="F453" s="964">
        <f>SUM(G453:J453)</f>
        <v>0</v>
      </c>
      <c r="G453" s="964"/>
      <c r="H453" s="964"/>
      <c r="I453" s="964"/>
      <c r="J453" s="946"/>
      <c r="K453" s="938"/>
    </row>
    <row r="454" spans="1:226" s="939" customFormat="1" ht="24.95" customHeight="1">
      <c r="A454" s="1499"/>
      <c r="B454" s="1500"/>
      <c r="C454" s="1502"/>
      <c r="D454" s="1502"/>
      <c r="E454" s="966" t="s">
        <v>939</v>
      </c>
      <c r="F454" s="958">
        <f>SUM(F455:F458)</f>
        <v>3974000</v>
      </c>
      <c r="G454" s="958">
        <f>SUM(G455:G458)</f>
        <v>0</v>
      </c>
      <c r="H454" s="958">
        <f>SUM(H455:H458)</f>
        <v>2429000</v>
      </c>
      <c r="I454" s="958">
        <f>SUM(I455:I458)</f>
        <v>1545000</v>
      </c>
      <c r="J454" s="942">
        <f>SUM(J455:J458)</f>
        <v>0</v>
      </c>
      <c r="K454" s="938"/>
    </row>
    <row r="455" spans="1:226" s="939" customFormat="1" ht="15" hidden="1" customHeight="1">
      <c r="A455" s="1499"/>
      <c r="B455" s="1500"/>
      <c r="C455" s="1502"/>
      <c r="D455" s="1502"/>
      <c r="E455" s="963" t="s">
        <v>268</v>
      </c>
      <c r="F455" s="964">
        <f>SUM(G455:J455)</f>
        <v>0</v>
      </c>
      <c r="G455" s="964"/>
      <c r="H455" s="964"/>
      <c r="I455" s="964"/>
      <c r="J455" s="946"/>
      <c r="K455" s="938"/>
    </row>
    <row r="456" spans="1:226" s="939" customFormat="1" ht="15" customHeight="1">
      <c r="A456" s="1499"/>
      <c r="B456" s="1500"/>
      <c r="C456" s="1502"/>
      <c r="D456" s="1502"/>
      <c r="E456" s="963" t="s">
        <v>268</v>
      </c>
      <c r="F456" s="964">
        <f>SUM(G456:J456)</f>
        <v>735000</v>
      </c>
      <c r="G456" s="964"/>
      <c r="H456" s="964"/>
      <c r="I456" s="964">
        <v>735000</v>
      </c>
      <c r="J456" s="946"/>
      <c r="K456" s="938"/>
    </row>
    <row r="457" spans="1:226" s="939" customFormat="1" ht="15" customHeight="1">
      <c r="A457" s="1499"/>
      <c r="B457" s="1500"/>
      <c r="C457" s="1502"/>
      <c r="D457" s="1502"/>
      <c r="E457" s="963" t="s">
        <v>282</v>
      </c>
      <c r="F457" s="964">
        <f>SUM(G457:J457)</f>
        <v>2429000</v>
      </c>
      <c r="G457" s="964"/>
      <c r="H457" s="964">
        <v>2429000</v>
      </c>
      <c r="I457" s="964"/>
      <c r="J457" s="946"/>
      <c r="K457" s="938"/>
      <c r="L457" s="938"/>
      <c r="M457" s="938"/>
      <c r="N457" s="938"/>
      <c r="O457" s="938"/>
      <c r="P457" s="938"/>
      <c r="Q457" s="938"/>
      <c r="R457" s="938"/>
      <c r="S457" s="938"/>
      <c r="T457" s="938"/>
      <c r="U457" s="938"/>
      <c r="V457" s="938"/>
      <c r="W457" s="938"/>
      <c r="X457" s="938"/>
      <c r="Y457" s="938"/>
      <c r="Z457" s="938"/>
      <c r="AA457" s="938"/>
      <c r="AB457" s="938"/>
      <c r="AC457" s="938"/>
      <c r="AD457" s="938"/>
      <c r="AE457" s="938"/>
      <c r="AF457" s="938"/>
      <c r="AG457" s="938"/>
      <c r="AH457" s="938"/>
      <c r="AI457" s="938"/>
      <c r="AJ457" s="938"/>
      <c r="AK457" s="938"/>
      <c r="AL457" s="938"/>
      <c r="AM457" s="938"/>
      <c r="AN457" s="938"/>
      <c r="AO457" s="938"/>
      <c r="AP457" s="938"/>
      <c r="AQ457" s="938"/>
      <c r="AR457" s="938"/>
      <c r="AS457" s="938"/>
      <c r="AT457" s="938"/>
      <c r="AU457" s="938"/>
      <c r="AV457" s="938"/>
      <c r="AW457" s="938"/>
      <c r="AX457" s="938"/>
      <c r="AY457" s="938"/>
      <c r="AZ457" s="938"/>
      <c r="BA457" s="938"/>
      <c r="BB457" s="938"/>
      <c r="BC457" s="938"/>
      <c r="BD457" s="938"/>
      <c r="BE457" s="938"/>
      <c r="BF457" s="938"/>
      <c r="BG457" s="938"/>
      <c r="BH457" s="938"/>
      <c r="BI457" s="938"/>
      <c r="BJ457" s="938"/>
      <c r="BK457" s="938"/>
      <c r="BL457" s="938"/>
      <c r="BM457" s="938"/>
      <c r="BN457" s="938"/>
      <c r="BO457" s="938"/>
      <c r="BP457" s="938"/>
      <c r="BQ457" s="938"/>
      <c r="BR457" s="938"/>
      <c r="BS457" s="938"/>
      <c r="BT457" s="938"/>
      <c r="BU457" s="938"/>
      <c r="BV457" s="938"/>
      <c r="BW457" s="938"/>
      <c r="BX457" s="938"/>
      <c r="BY457" s="938"/>
      <c r="BZ457" s="938"/>
      <c r="CA457" s="938"/>
      <c r="CB457" s="938"/>
      <c r="CC457" s="938"/>
      <c r="CD457" s="938"/>
      <c r="CE457" s="938"/>
      <c r="CF457" s="938"/>
      <c r="CG457" s="938"/>
      <c r="CH457" s="938"/>
      <c r="CI457" s="938"/>
      <c r="CJ457" s="938"/>
      <c r="CK457" s="938"/>
      <c r="CL457" s="938"/>
      <c r="CM457" s="938"/>
      <c r="CN457" s="938"/>
      <c r="CO457" s="938"/>
      <c r="CP457" s="938"/>
      <c r="CQ457" s="938"/>
      <c r="CR457" s="938"/>
      <c r="CS457" s="938"/>
      <c r="CT457" s="938"/>
      <c r="CU457" s="938"/>
      <c r="CV457" s="938"/>
      <c r="CW457" s="938"/>
      <c r="CX457" s="938"/>
      <c r="CY457" s="938"/>
      <c r="CZ457" s="938"/>
      <c r="DA457" s="938"/>
      <c r="DB457" s="938"/>
      <c r="DC457" s="938"/>
      <c r="DD457" s="938"/>
      <c r="DE457" s="938"/>
      <c r="DF457" s="938"/>
      <c r="DG457" s="938"/>
      <c r="DH457" s="938"/>
      <c r="DI457" s="938"/>
      <c r="DJ457" s="938"/>
      <c r="DK457" s="938"/>
      <c r="DL457" s="938"/>
      <c r="DM457" s="938"/>
      <c r="DN457" s="938"/>
      <c r="DO457" s="938"/>
      <c r="DP457" s="938"/>
      <c r="DQ457" s="938"/>
      <c r="DR457" s="938"/>
      <c r="DS457" s="938"/>
      <c r="DT457" s="938"/>
      <c r="DU457" s="938"/>
      <c r="DV457" s="938"/>
      <c r="DW457" s="938"/>
      <c r="DX457" s="938"/>
      <c r="DY457" s="938"/>
      <c r="DZ457" s="938"/>
      <c r="EA457" s="938"/>
      <c r="EB457" s="938"/>
      <c r="EC457" s="938"/>
      <c r="ED457" s="938"/>
      <c r="EE457" s="938"/>
      <c r="EF457" s="938"/>
      <c r="EG457" s="938"/>
      <c r="EH457" s="938"/>
      <c r="EI457" s="938"/>
      <c r="EJ457" s="938"/>
      <c r="EK457" s="938"/>
      <c r="EL457" s="938"/>
      <c r="EM457" s="938"/>
      <c r="EN457" s="938"/>
      <c r="EO457" s="938"/>
      <c r="EP457" s="938"/>
      <c r="EQ457" s="938"/>
      <c r="ER457" s="938"/>
      <c r="ES457" s="938"/>
      <c r="ET457" s="938"/>
      <c r="EU457" s="938"/>
      <c r="EV457" s="938"/>
      <c r="EW457" s="938"/>
      <c r="EX457" s="938"/>
      <c r="EY457" s="938"/>
      <c r="EZ457" s="938"/>
      <c r="FA457" s="938"/>
      <c r="FB457" s="938"/>
      <c r="FC457" s="938"/>
      <c r="FD457" s="938"/>
      <c r="FE457" s="938"/>
      <c r="FF457" s="938"/>
      <c r="FG457" s="938"/>
      <c r="FH457" s="938"/>
      <c r="FI457" s="938"/>
      <c r="FJ457" s="938"/>
      <c r="FK457" s="938"/>
      <c r="FL457" s="938"/>
      <c r="FM457" s="938"/>
      <c r="FN457" s="938"/>
      <c r="FO457" s="938"/>
      <c r="FP457" s="938"/>
      <c r="FQ457" s="938"/>
      <c r="FR457" s="938"/>
      <c r="FS457" s="938"/>
      <c r="FT457" s="938"/>
      <c r="FU457" s="938"/>
      <c r="FV457" s="938"/>
      <c r="FW457" s="938"/>
      <c r="FX457" s="938"/>
      <c r="FY457" s="938"/>
      <c r="FZ457" s="938"/>
      <c r="GA457" s="938"/>
      <c r="GB457" s="938"/>
      <c r="GC457" s="938"/>
      <c r="GD457" s="938"/>
      <c r="GE457" s="938"/>
      <c r="GF457" s="938"/>
      <c r="GG457" s="938"/>
      <c r="GH457" s="938"/>
      <c r="GI457" s="938"/>
      <c r="GJ457" s="938"/>
      <c r="GK457" s="938"/>
      <c r="GL457" s="938"/>
      <c r="GM457" s="938"/>
      <c r="GN457" s="938"/>
      <c r="GO457" s="938"/>
      <c r="GP457" s="938"/>
      <c r="GQ457" s="938"/>
      <c r="GR457" s="938"/>
      <c r="GS457" s="938"/>
      <c r="GT457" s="938"/>
      <c r="GU457" s="938"/>
      <c r="GV457" s="938"/>
      <c r="GW457" s="938"/>
      <c r="GX457" s="938"/>
      <c r="GY457" s="938"/>
      <c r="GZ457" s="938"/>
      <c r="HA457" s="938"/>
      <c r="HB457" s="938"/>
      <c r="HC457" s="938"/>
      <c r="HD457" s="938"/>
      <c r="HE457" s="938"/>
      <c r="HF457" s="938"/>
      <c r="HG457" s="938"/>
      <c r="HH457" s="938"/>
      <c r="HI457" s="938"/>
      <c r="HJ457" s="938"/>
      <c r="HK457" s="938"/>
      <c r="HL457" s="938"/>
      <c r="HM457" s="938"/>
      <c r="HN457" s="938"/>
      <c r="HO457" s="938"/>
      <c r="HP457" s="938"/>
      <c r="HQ457" s="938"/>
      <c r="HR457" s="938"/>
    </row>
    <row r="458" spans="1:226" s="939" customFormat="1" ht="15" customHeight="1">
      <c r="A458" s="1499"/>
      <c r="B458" s="1500"/>
      <c r="C458" s="1502"/>
      <c r="D458" s="1502"/>
      <c r="E458" s="975">
        <v>6059</v>
      </c>
      <c r="F458" s="964">
        <f>SUM(G458:J458)</f>
        <v>810000</v>
      </c>
      <c r="G458" s="964"/>
      <c r="H458" s="964"/>
      <c r="I458" s="964">
        <v>810000</v>
      </c>
      <c r="J458" s="946"/>
      <c r="K458" s="938"/>
    </row>
    <row r="459" spans="1:226" s="939" customFormat="1" ht="24.95" customHeight="1">
      <c r="A459" s="1503" t="s">
        <v>956</v>
      </c>
      <c r="B459" s="1504" t="s">
        <v>994</v>
      </c>
      <c r="C459" s="1506" t="s">
        <v>5</v>
      </c>
      <c r="D459" s="1502" t="s">
        <v>277</v>
      </c>
      <c r="E459" s="954" t="s">
        <v>937</v>
      </c>
      <c r="F459" s="955">
        <f>SUM(F460,F467)</f>
        <v>708012</v>
      </c>
      <c r="G459" s="955">
        <f>SUM(G460,G467)</f>
        <v>0</v>
      </c>
      <c r="H459" s="955">
        <f>SUM(H460,H467)</f>
        <v>442934</v>
      </c>
      <c r="I459" s="955">
        <f>SUM(I460,I467)</f>
        <v>265078</v>
      </c>
      <c r="J459" s="937">
        <f>SUM(J460,J467)</f>
        <v>0</v>
      </c>
      <c r="K459" s="938"/>
    </row>
    <row r="460" spans="1:226" s="939" customFormat="1" ht="24.95" customHeight="1">
      <c r="A460" s="1507"/>
      <c r="B460" s="1509"/>
      <c r="C460" s="1513"/>
      <c r="D460" s="1502"/>
      <c r="E460" s="957" t="s">
        <v>440</v>
      </c>
      <c r="F460" s="958">
        <f>SUM(F461,F464)</f>
        <v>0</v>
      </c>
      <c r="G460" s="958">
        <f>SUM(G461,G464)</f>
        <v>0</v>
      </c>
      <c r="H460" s="958">
        <f>SUM(H461,H464)</f>
        <v>0</v>
      </c>
      <c r="I460" s="958">
        <f>SUM(I461,I464)</f>
        <v>0</v>
      </c>
      <c r="J460" s="942">
        <f>SUM(J461,J464)</f>
        <v>0</v>
      </c>
      <c r="K460" s="938"/>
    </row>
    <row r="461" spans="1:226" s="939" customFormat="1" ht="24.95" hidden="1" customHeight="1">
      <c r="A461" s="1507"/>
      <c r="B461" s="1509"/>
      <c r="C461" s="1513"/>
      <c r="D461" s="1502"/>
      <c r="E461" s="960" t="s">
        <v>944</v>
      </c>
      <c r="F461" s="961">
        <f>SUM(F462:F463)</f>
        <v>0</v>
      </c>
      <c r="G461" s="961">
        <f>SUM(G462:G463)</f>
        <v>0</v>
      </c>
      <c r="H461" s="961">
        <f>SUM(H462:H463)</f>
        <v>0</v>
      </c>
      <c r="I461" s="961">
        <f>SUM(I462:I463)</f>
        <v>0</v>
      </c>
      <c r="J461" s="951">
        <f>SUM(J462:J463)</f>
        <v>0</v>
      </c>
      <c r="K461" s="938"/>
    </row>
    <row r="462" spans="1:226" s="939" customFormat="1" ht="24.95" hidden="1" customHeight="1">
      <c r="A462" s="1507"/>
      <c r="B462" s="1509"/>
      <c r="C462" s="1513"/>
      <c r="D462" s="1502"/>
      <c r="E462" s="963"/>
      <c r="F462" s="964">
        <f>SUM(G462:J462)</f>
        <v>0</v>
      </c>
      <c r="G462" s="964"/>
      <c r="H462" s="964"/>
      <c r="I462" s="964"/>
      <c r="J462" s="946"/>
      <c r="K462" s="938"/>
    </row>
    <row r="463" spans="1:226" s="939" customFormat="1" ht="24.95" hidden="1" customHeight="1">
      <c r="A463" s="1507"/>
      <c r="B463" s="1509"/>
      <c r="C463" s="1513"/>
      <c r="D463" s="1502"/>
      <c r="E463" s="963"/>
      <c r="F463" s="964">
        <f>SUM(G463:J463)</f>
        <v>0</v>
      </c>
      <c r="G463" s="964"/>
      <c r="H463" s="964"/>
      <c r="I463" s="964"/>
      <c r="J463" s="946"/>
      <c r="K463" s="938"/>
    </row>
    <row r="464" spans="1:226" s="939" customFormat="1" ht="24.95" hidden="1" customHeight="1">
      <c r="A464" s="1507"/>
      <c r="B464" s="1509"/>
      <c r="C464" s="1513"/>
      <c r="D464" s="1502"/>
      <c r="E464" s="960" t="s">
        <v>945</v>
      </c>
      <c r="F464" s="961">
        <f>SUM(F465:F466)</f>
        <v>0</v>
      </c>
      <c r="G464" s="961">
        <f>SUM(G465:G466)</f>
        <v>0</v>
      </c>
      <c r="H464" s="961">
        <f>SUM(H465:H466)</f>
        <v>0</v>
      </c>
      <c r="I464" s="961">
        <f>SUM(I465:I466)</f>
        <v>0</v>
      </c>
      <c r="J464" s="951">
        <f>SUM(J465:J466)</f>
        <v>0</v>
      </c>
      <c r="K464" s="938"/>
    </row>
    <row r="465" spans="1:11" s="939" customFormat="1" ht="24.95" hidden="1" customHeight="1">
      <c r="A465" s="1507"/>
      <c r="B465" s="1509"/>
      <c r="C465" s="1513"/>
      <c r="D465" s="1502"/>
      <c r="E465" s="963"/>
      <c r="F465" s="964">
        <f>SUM(G465:J465)</f>
        <v>0</v>
      </c>
      <c r="G465" s="964"/>
      <c r="H465" s="964"/>
      <c r="I465" s="964"/>
      <c r="J465" s="946"/>
      <c r="K465" s="938"/>
    </row>
    <row r="466" spans="1:11" s="939" customFormat="1" ht="24.95" hidden="1" customHeight="1">
      <c r="A466" s="1507"/>
      <c r="B466" s="1509"/>
      <c r="C466" s="1513"/>
      <c r="D466" s="1502"/>
      <c r="E466" s="963"/>
      <c r="F466" s="964">
        <f>SUM(G466:J466)</f>
        <v>0</v>
      </c>
      <c r="G466" s="964"/>
      <c r="H466" s="964"/>
      <c r="I466" s="964"/>
      <c r="J466" s="946"/>
      <c r="K466" s="938"/>
    </row>
    <row r="467" spans="1:11" s="939" customFormat="1" ht="24.95" customHeight="1">
      <c r="A467" s="1507"/>
      <c r="B467" s="1509"/>
      <c r="C467" s="1513"/>
      <c r="D467" s="1502"/>
      <c r="E467" s="966" t="s">
        <v>939</v>
      </c>
      <c r="F467" s="958">
        <f>SUM(F468:F471)</f>
        <v>708012</v>
      </c>
      <c r="G467" s="958">
        <f>SUM(G468:G471)</f>
        <v>0</v>
      </c>
      <c r="H467" s="958">
        <f>SUM(H468:H471)</f>
        <v>442934</v>
      </c>
      <c r="I467" s="958">
        <f>SUM(I468:I471)</f>
        <v>265078</v>
      </c>
      <c r="J467" s="942">
        <f>SUM(J468:J471)</f>
        <v>0</v>
      </c>
      <c r="K467" s="938"/>
    </row>
    <row r="468" spans="1:11" s="939" customFormat="1" ht="15" customHeight="1">
      <c r="A468" s="1507"/>
      <c r="B468" s="1509"/>
      <c r="C468" s="1513"/>
      <c r="D468" s="1502"/>
      <c r="E468" s="963" t="s">
        <v>268</v>
      </c>
      <c r="F468" s="964">
        <f>SUM(G468:J468)</f>
        <v>117433</v>
      </c>
      <c r="G468" s="964"/>
      <c r="H468" s="964"/>
      <c r="I468" s="964">
        <v>117433</v>
      </c>
      <c r="J468" s="946"/>
      <c r="K468" s="938"/>
    </row>
    <row r="469" spans="1:11" s="939" customFormat="1" ht="15" customHeight="1">
      <c r="A469" s="1507"/>
      <c r="B469" s="1509"/>
      <c r="C469" s="1513"/>
      <c r="D469" s="1502"/>
      <c r="E469" s="963" t="s">
        <v>282</v>
      </c>
      <c r="F469" s="964">
        <f>SUM(G469:J469)</f>
        <v>442934</v>
      </c>
      <c r="G469" s="964"/>
      <c r="H469" s="964">
        <v>442934</v>
      </c>
      <c r="I469" s="964"/>
      <c r="J469" s="946"/>
      <c r="K469" s="938"/>
    </row>
    <row r="470" spans="1:11" s="939" customFormat="1" ht="15" customHeight="1">
      <c r="A470" s="1508"/>
      <c r="B470" s="1510"/>
      <c r="C470" s="1514"/>
      <c r="D470" s="1502"/>
      <c r="E470" s="975">
        <v>6059</v>
      </c>
      <c r="F470" s="964">
        <f>SUM(G470:J470)</f>
        <v>147645</v>
      </c>
      <c r="G470" s="964"/>
      <c r="H470" s="964"/>
      <c r="I470" s="964">
        <v>147645</v>
      </c>
      <c r="J470" s="946"/>
      <c r="K470" s="938"/>
    </row>
    <row r="471" spans="1:11" s="939" customFormat="1" ht="15" hidden="1" customHeight="1">
      <c r="A471" s="971"/>
      <c r="B471" s="972"/>
      <c r="C471" s="974"/>
      <c r="D471" s="982" t="s">
        <v>330</v>
      </c>
      <c r="E471" s="983">
        <v>6050</v>
      </c>
      <c r="F471" s="984">
        <f>SUM(G471:J471)</f>
        <v>0</v>
      </c>
      <c r="G471" s="984"/>
      <c r="H471" s="984"/>
      <c r="I471" s="984"/>
      <c r="J471" s="985"/>
      <c r="K471" s="938"/>
    </row>
    <row r="472" spans="1:11" s="939" customFormat="1" ht="24.95" customHeight="1">
      <c r="A472" s="1499" t="s">
        <v>958</v>
      </c>
      <c r="B472" s="1500" t="s">
        <v>995</v>
      </c>
      <c r="C472" s="1502" t="s">
        <v>5</v>
      </c>
      <c r="D472" s="1502" t="s">
        <v>277</v>
      </c>
      <c r="E472" s="954" t="s">
        <v>937</v>
      </c>
      <c r="F472" s="955">
        <f>SUM(F473,F480)</f>
        <v>1409012</v>
      </c>
      <c r="G472" s="955">
        <f>SUM(G473,G480)</f>
        <v>0</v>
      </c>
      <c r="H472" s="955">
        <f>SUM(H473,H480)</f>
        <v>859033</v>
      </c>
      <c r="I472" s="955">
        <f>SUM(I473,I480)</f>
        <v>549979</v>
      </c>
      <c r="J472" s="937">
        <f>SUM(J473,J480)</f>
        <v>0</v>
      </c>
      <c r="K472" s="938"/>
    </row>
    <row r="473" spans="1:11" s="939" customFormat="1" ht="24.95" customHeight="1">
      <c r="A473" s="1499"/>
      <c r="B473" s="1500"/>
      <c r="C473" s="1502"/>
      <c r="D473" s="1502"/>
      <c r="E473" s="957" t="s">
        <v>440</v>
      </c>
      <c r="F473" s="958">
        <f>SUM(F474,F477)</f>
        <v>0</v>
      </c>
      <c r="G473" s="958">
        <f>SUM(G474,G477)</f>
        <v>0</v>
      </c>
      <c r="H473" s="958">
        <f>SUM(H474,H477)</f>
        <v>0</v>
      </c>
      <c r="I473" s="958">
        <f>SUM(I474,I477)</f>
        <v>0</v>
      </c>
      <c r="J473" s="942">
        <f>SUM(J474,J477)</f>
        <v>0</v>
      </c>
      <c r="K473" s="938"/>
    </row>
    <row r="474" spans="1:11" s="939" customFormat="1" ht="24.95" hidden="1" customHeight="1">
      <c r="A474" s="1499"/>
      <c r="B474" s="1500"/>
      <c r="C474" s="1502"/>
      <c r="D474" s="1502"/>
      <c r="E474" s="960" t="s">
        <v>944</v>
      </c>
      <c r="F474" s="961">
        <f>SUM(F475:F476)</f>
        <v>0</v>
      </c>
      <c r="G474" s="961">
        <f>SUM(G475:G476)</f>
        <v>0</v>
      </c>
      <c r="H474" s="961">
        <f>SUM(H475:H476)</f>
        <v>0</v>
      </c>
      <c r="I474" s="961">
        <f>SUM(I475:I476)</f>
        <v>0</v>
      </c>
      <c r="J474" s="951">
        <f>SUM(J475:J476)</f>
        <v>0</v>
      </c>
      <c r="K474" s="938"/>
    </row>
    <row r="475" spans="1:11" s="939" customFormat="1" ht="24.95" hidden="1" customHeight="1">
      <c r="A475" s="1499"/>
      <c r="B475" s="1500"/>
      <c r="C475" s="1502"/>
      <c r="D475" s="1502"/>
      <c r="E475" s="963"/>
      <c r="F475" s="964">
        <f>SUM(G475:J475)</f>
        <v>0</v>
      </c>
      <c r="G475" s="964"/>
      <c r="H475" s="964"/>
      <c r="I475" s="964"/>
      <c r="J475" s="946"/>
      <c r="K475" s="938"/>
    </row>
    <row r="476" spans="1:11" s="939" customFormat="1" ht="24.95" hidden="1" customHeight="1">
      <c r="A476" s="1499"/>
      <c r="B476" s="1500"/>
      <c r="C476" s="1502"/>
      <c r="D476" s="1502"/>
      <c r="E476" s="963"/>
      <c r="F476" s="964">
        <f>SUM(G476:J476)</f>
        <v>0</v>
      </c>
      <c r="G476" s="964"/>
      <c r="H476" s="964"/>
      <c r="I476" s="964"/>
      <c r="J476" s="946"/>
      <c r="K476" s="938"/>
    </row>
    <row r="477" spans="1:11" s="939" customFormat="1" ht="24.95" hidden="1" customHeight="1">
      <c r="A477" s="1499"/>
      <c r="B477" s="1500"/>
      <c r="C477" s="1502"/>
      <c r="D477" s="1502"/>
      <c r="E477" s="960" t="s">
        <v>945</v>
      </c>
      <c r="F477" s="961">
        <f>SUM(F478:F479)</f>
        <v>0</v>
      </c>
      <c r="G477" s="961">
        <f>SUM(G478:G479)</f>
        <v>0</v>
      </c>
      <c r="H477" s="961">
        <f>SUM(H478:H479)</f>
        <v>0</v>
      </c>
      <c r="I477" s="961">
        <f>SUM(I478:I479)</f>
        <v>0</v>
      </c>
      <c r="J477" s="951">
        <f>SUM(J478:J479)</f>
        <v>0</v>
      </c>
      <c r="K477" s="938"/>
    </row>
    <row r="478" spans="1:11" s="939" customFormat="1" ht="24.95" hidden="1" customHeight="1">
      <c r="A478" s="1499"/>
      <c r="B478" s="1500"/>
      <c r="C478" s="1502"/>
      <c r="D478" s="1502"/>
      <c r="E478" s="963"/>
      <c r="F478" s="964">
        <f>SUM(G478:J478)</f>
        <v>0</v>
      </c>
      <c r="G478" s="964"/>
      <c r="H478" s="964"/>
      <c r="I478" s="964"/>
      <c r="J478" s="946"/>
      <c r="K478" s="938"/>
    </row>
    <row r="479" spans="1:11" s="939" customFormat="1" ht="24.95" hidden="1" customHeight="1">
      <c r="A479" s="1499"/>
      <c r="B479" s="1500"/>
      <c r="C479" s="1502"/>
      <c r="D479" s="1502"/>
      <c r="E479" s="963"/>
      <c r="F479" s="964">
        <f>SUM(G479:J479)</f>
        <v>0</v>
      </c>
      <c r="G479" s="964"/>
      <c r="H479" s="964"/>
      <c r="I479" s="964"/>
      <c r="J479" s="946"/>
      <c r="K479" s="938"/>
    </row>
    <row r="480" spans="1:11" s="939" customFormat="1" ht="24.95" customHeight="1">
      <c r="A480" s="1499"/>
      <c r="B480" s="1500"/>
      <c r="C480" s="1502"/>
      <c r="D480" s="1502"/>
      <c r="E480" s="966" t="s">
        <v>939</v>
      </c>
      <c r="F480" s="958">
        <f>SUM(F481:F484)</f>
        <v>1409012</v>
      </c>
      <c r="G480" s="958">
        <f>SUM(G481:G484)</f>
        <v>0</v>
      </c>
      <c r="H480" s="958">
        <f>SUM(H481:H484)</f>
        <v>859033</v>
      </c>
      <c r="I480" s="958">
        <f>SUM(I481:I484)</f>
        <v>549979</v>
      </c>
      <c r="J480" s="942">
        <f>SUM(J481:J484)</f>
        <v>0</v>
      </c>
      <c r="K480" s="938"/>
    </row>
    <row r="481" spans="1:226" s="939" customFormat="1" ht="15" customHeight="1">
      <c r="A481" s="1499"/>
      <c r="B481" s="1500"/>
      <c r="C481" s="1502"/>
      <c r="D481" s="1502"/>
      <c r="E481" s="963" t="s">
        <v>268</v>
      </c>
      <c r="F481" s="964">
        <f>SUM(G481:J481)</f>
        <v>263636</v>
      </c>
      <c r="G481" s="964"/>
      <c r="H481" s="964"/>
      <c r="I481" s="964">
        <v>263636</v>
      </c>
      <c r="J481" s="946"/>
      <c r="K481" s="938"/>
    </row>
    <row r="482" spans="1:226" s="939" customFormat="1" ht="15" customHeight="1">
      <c r="A482" s="1499"/>
      <c r="B482" s="1500"/>
      <c r="C482" s="1502"/>
      <c r="D482" s="1502"/>
      <c r="E482" s="963" t="s">
        <v>282</v>
      </c>
      <c r="F482" s="964">
        <f>SUM(G482:J482)</f>
        <v>859033</v>
      </c>
      <c r="G482" s="964"/>
      <c r="H482" s="964">
        <v>859033</v>
      </c>
      <c r="I482" s="964"/>
      <c r="J482" s="946"/>
      <c r="K482" s="938"/>
    </row>
    <row r="483" spans="1:226" s="939" customFormat="1" ht="15" customHeight="1">
      <c r="A483" s="1499"/>
      <c r="B483" s="1500"/>
      <c r="C483" s="1502"/>
      <c r="D483" s="1502"/>
      <c r="E483" s="975">
        <v>6059</v>
      </c>
      <c r="F483" s="964">
        <f>SUM(G483:J483)</f>
        <v>286343</v>
      </c>
      <c r="G483" s="964"/>
      <c r="H483" s="964"/>
      <c r="I483" s="964">
        <v>286343</v>
      </c>
      <c r="J483" s="946"/>
      <c r="K483" s="938"/>
    </row>
    <row r="484" spans="1:226" s="939" customFormat="1" ht="15" hidden="1" customHeight="1">
      <c r="A484" s="1499"/>
      <c r="B484" s="1500"/>
      <c r="C484" s="1502"/>
      <c r="D484" s="963" t="s">
        <v>330</v>
      </c>
      <c r="E484" s="975">
        <v>6050</v>
      </c>
      <c r="F484" s="964">
        <f>SUM(G484:J484)</f>
        <v>0</v>
      </c>
      <c r="G484" s="964"/>
      <c r="H484" s="964"/>
      <c r="I484" s="964"/>
      <c r="J484" s="946"/>
      <c r="K484" s="938"/>
    </row>
    <row r="485" spans="1:226" s="939" customFormat="1" ht="24.95" customHeight="1">
      <c r="A485" s="1499" t="s">
        <v>960</v>
      </c>
      <c r="B485" s="1500" t="s">
        <v>996</v>
      </c>
      <c r="C485" s="1502" t="s">
        <v>5</v>
      </c>
      <c r="D485" s="1502" t="s">
        <v>277</v>
      </c>
      <c r="E485" s="954" t="s">
        <v>937</v>
      </c>
      <c r="F485" s="955">
        <f>SUM(F486,F493)</f>
        <v>289974</v>
      </c>
      <c r="G485" s="955">
        <f>SUM(G486,G493)</f>
        <v>0</v>
      </c>
      <c r="H485" s="955">
        <f>SUM(H486,H493)</f>
        <v>145000</v>
      </c>
      <c r="I485" s="955">
        <f>SUM(I486,I493)</f>
        <v>144974</v>
      </c>
      <c r="J485" s="937">
        <f>SUM(J486,J493)</f>
        <v>0</v>
      </c>
      <c r="K485" s="938"/>
    </row>
    <row r="486" spans="1:226" s="939" customFormat="1" ht="24.95" customHeight="1">
      <c r="A486" s="1499"/>
      <c r="B486" s="1500"/>
      <c r="C486" s="1502"/>
      <c r="D486" s="1502"/>
      <c r="E486" s="957" t="s">
        <v>440</v>
      </c>
      <c r="F486" s="958">
        <f>SUM(F487,F490)</f>
        <v>0</v>
      </c>
      <c r="G486" s="958">
        <f>SUM(G487,G490)</f>
        <v>0</v>
      </c>
      <c r="H486" s="958">
        <f>SUM(H487,H490)</f>
        <v>0</v>
      </c>
      <c r="I486" s="958">
        <f>SUM(I487,I490)</f>
        <v>0</v>
      </c>
      <c r="J486" s="942">
        <f>SUM(J487,J490)</f>
        <v>0</v>
      </c>
      <c r="K486" s="938"/>
    </row>
    <row r="487" spans="1:226" s="939" customFormat="1" ht="24.95" hidden="1" customHeight="1">
      <c r="A487" s="1499"/>
      <c r="B487" s="1500"/>
      <c r="C487" s="1502"/>
      <c r="D487" s="1502"/>
      <c r="E487" s="960" t="s">
        <v>944</v>
      </c>
      <c r="F487" s="961">
        <f>SUM(F488:F489)</f>
        <v>0</v>
      </c>
      <c r="G487" s="961">
        <f>SUM(G488:G489)</f>
        <v>0</v>
      </c>
      <c r="H487" s="961">
        <f>SUM(H488:H489)</f>
        <v>0</v>
      </c>
      <c r="I487" s="961">
        <f>SUM(I488:I489)</f>
        <v>0</v>
      </c>
      <c r="J487" s="951">
        <f>SUM(J488:J489)</f>
        <v>0</v>
      </c>
      <c r="K487" s="938"/>
    </row>
    <row r="488" spans="1:226" s="939" customFormat="1" ht="24.95" hidden="1" customHeight="1">
      <c r="A488" s="1499"/>
      <c r="B488" s="1500"/>
      <c r="C488" s="1502"/>
      <c r="D488" s="1502"/>
      <c r="E488" s="963"/>
      <c r="F488" s="964">
        <f>SUM(G488:J488)</f>
        <v>0</v>
      </c>
      <c r="G488" s="964"/>
      <c r="H488" s="964"/>
      <c r="I488" s="964"/>
      <c r="J488" s="946"/>
      <c r="K488" s="938"/>
    </row>
    <row r="489" spans="1:226" s="939" customFormat="1" ht="24.95" hidden="1" customHeight="1">
      <c r="A489" s="1499"/>
      <c r="B489" s="1500"/>
      <c r="C489" s="1502"/>
      <c r="D489" s="1502"/>
      <c r="E489" s="963"/>
      <c r="F489" s="964">
        <f>SUM(G489:J489)</f>
        <v>0</v>
      </c>
      <c r="G489" s="964"/>
      <c r="H489" s="964"/>
      <c r="I489" s="964"/>
      <c r="J489" s="946"/>
      <c r="K489" s="938"/>
    </row>
    <row r="490" spans="1:226" s="939" customFormat="1" ht="24.95" hidden="1" customHeight="1">
      <c r="A490" s="1499"/>
      <c r="B490" s="1500"/>
      <c r="C490" s="1502"/>
      <c r="D490" s="1502"/>
      <c r="E490" s="960" t="s">
        <v>945</v>
      </c>
      <c r="F490" s="961">
        <f>SUM(F491:F492)</f>
        <v>0</v>
      </c>
      <c r="G490" s="961">
        <f>SUM(G491:G492)</f>
        <v>0</v>
      </c>
      <c r="H490" s="961">
        <f>SUM(H491:H492)</f>
        <v>0</v>
      </c>
      <c r="I490" s="961">
        <f>SUM(I491:I492)</f>
        <v>0</v>
      </c>
      <c r="J490" s="951">
        <f>SUM(J491:J492)</f>
        <v>0</v>
      </c>
      <c r="K490" s="938"/>
    </row>
    <row r="491" spans="1:226" s="939" customFormat="1" ht="24.95" hidden="1" customHeight="1">
      <c r="A491" s="1499"/>
      <c r="B491" s="1500"/>
      <c r="C491" s="1502"/>
      <c r="D491" s="1502"/>
      <c r="E491" s="963"/>
      <c r="F491" s="964">
        <f>SUM(G491:J491)</f>
        <v>0</v>
      </c>
      <c r="G491" s="964"/>
      <c r="H491" s="964"/>
      <c r="I491" s="964"/>
      <c r="J491" s="946"/>
      <c r="K491" s="938"/>
      <c r="L491" s="938"/>
      <c r="M491" s="938"/>
      <c r="N491" s="938"/>
      <c r="O491" s="938"/>
      <c r="P491" s="938"/>
      <c r="Q491" s="938"/>
      <c r="R491" s="938"/>
      <c r="S491" s="938"/>
      <c r="T491" s="938"/>
      <c r="U491" s="938"/>
      <c r="V491" s="938"/>
      <c r="W491" s="938"/>
      <c r="X491" s="938"/>
      <c r="Y491" s="938"/>
      <c r="Z491" s="938"/>
      <c r="AA491" s="938"/>
      <c r="AB491" s="938"/>
      <c r="AC491" s="938"/>
      <c r="AD491" s="938"/>
      <c r="AE491" s="938"/>
      <c r="AF491" s="938"/>
      <c r="AG491" s="938"/>
      <c r="AH491" s="938"/>
      <c r="AI491" s="938"/>
      <c r="AJ491" s="938"/>
      <c r="AK491" s="938"/>
      <c r="AL491" s="938"/>
      <c r="AM491" s="938"/>
      <c r="AN491" s="938"/>
      <c r="AO491" s="938"/>
      <c r="AP491" s="938"/>
      <c r="AQ491" s="938"/>
      <c r="AR491" s="938"/>
      <c r="AS491" s="938"/>
      <c r="AT491" s="938"/>
      <c r="AU491" s="938"/>
      <c r="AV491" s="938"/>
      <c r="AW491" s="938"/>
      <c r="AX491" s="938"/>
      <c r="AY491" s="938"/>
      <c r="AZ491" s="938"/>
      <c r="BA491" s="938"/>
      <c r="BB491" s="938"/>
      <c r="BC491" s="938"/>
      <c r="BD491" s="938"/>
      <c r="BE491" s="938"/>
      <c r="BF491" s="938"/>
      <c r="BG491" s="938"/>
      <c r="BH491" s="938"/>
      <c r="BI491" s="938"/>
      <c r="BJ491" s="938"/>
      <c r="BK491" s="938"/>
      <c r="BL491" s="938"/>
      <c r="BM491" s="938"/>
      <c r="BN491" s="938"/>
      <c r="BO491" s="938"/>
      <c r="BP491" s="938"/>
      <c r="BQ491" s="938"/>
      <c r="BR491" s="938"/>
      <c r="BS491" s="938"/>
      <c r="BT491" s="938"/>
      <c r="BU491" s="938"/>
      <c r="BV491" s="938"/>
      <c r="BW491" s="938"/>
      <c r="BX491" s="938"/>
      <c r="BY491" s="938"/>
      <c r="BZ491" s="938"/>
      <c r="CA491" s="938"/>
      <c r="CB491" s="938"/>
      <c r="CC491" s="938"/>
      <c r="CD491" s="938"/>
      <c r="CE491" s="938"/>
      <c r="CF491" s="938"/>
      <c r="CG491" s="938"/>
      <c r="CH491" s="938"/>
      <c r="CI491" s="938"/>
      <c r="CJ491" s="938"/>
      <c r="CK491" s="938"/>
      <c r="CL491" s="938"/>
      <c r="CM491" s="938"/>
      <c r="CN491" s="938"/>
      <c r="CO491" s="938"/>
      <c r="CP491" s="938"/>
      <c r="CQ491" s="938"/>
      <c r="CR491" s="938"/>
      <c r="CS491" s="938"/>
      <c r="CT491" s="938"/>
      <c r="CU491" s="938"/>
      <c r="CV491" s="938"/>
      <c r="CW491" s="938"/>
      <c r="CX491" s="938"/>
      <c r="CY491" s="938"/>
      <c r="CZ491" s="938"/>
      <c r="DA491" s="938"/>
      <c r="DB491" s="938"/>
      <c r="DC491" s="938"/>
      <c r="DD491" s="938"/>
      <c r="DE491" s="938"/>
      <c r="DF491" s="938"/>
      <c r="DG491" s="938"/>
      <c r="DH491" s="938"/>
      <c r="DI491" s="938"/>
      <c r="DJ491" s="938"/>
      <c r="DK491" s="938"/>
      <c r="DL491" s="938"/>
      <c r="DM491" s="938"/>
      <c r="DN491" s="938"/>
      <c r="DO491" s="938"/>
      <c r="DP491" s="938"/>
      <c r="DQ491" s="938"/>
      <c r="DR491" s="938"/>
      <c r="DS491" s="938"/>
      <c r="DT491" s="938"/>
      <c r="DU491" s="938"/>
      <c r="DV491" s="938"/>
      <c r="DW491" s="938"/>
      <c r="DX491" s="938"/>
      <c r="DY491" s="938"/>
      <c r="DZ491" s="938"/>
      <c r="EA491" s="938"/>
      <c r="EB491" s="938"/>
      <c r="EC491" s="938"/>
      <c r="ED491" s="938"/>
      <c r="EE491" s="938"/>
      <c r="EF491" s="938"/>
      <c r="EG491" s="938"/>
      <c r="EH491" s="938"/>
      <c r="EI491" s="938"/>
      <c r="EJ491" s="938"/>
      <c r="EK491" s="938"/>
      <c r="EL491" s="938"/>
      <c r="EM491" s="938"/>
      <c r="EN491" s="938"/>
      <c r="EO491" s="938"/>
      <c r="EP491" s="938"/>
      <c r="EQ491" s="938"/>
      <c r="ER491" s="938"/>
      <c r="ES491" s="938"/>
      <c r="ET491" s="938"/>
      <c r="EU491" s="938"/>
      <c r="EV491" s="938"/>
      <c r="EW491" s="938"/>
      <c r="EX491" s="938"/>
      <c r="EY491" s="938"/>
      <c r="EZ491" s="938"/>
      <c r="FA491" s="938"/>
      <c r="FB491" s="938"/>
      <c r="FC491" s="938"/>
      <c r="FD491" s="938"/>
      <c r="FE491" s="938"/>
      <c r="FF491" s="938"/>
      <c r="FG491" s="938"/>
      <c r="FH491" s="938"/>
      <c r="FI491" s="938"/>
      <c r="FJ491" s="938"/>
      <c r="FK491" s="938"/>
      <c r="FL491" s="938"/>
      <c r="FM491" s="938"/>
      <c r="FN491" s="938"/>
      <c r="FO491" s="938"/>
      <c r="FP491" s="938"/>
      <c r="FQ491" s="938"/>
      <c r="FR491" s="938"/>
      <c r="FS491" s="938"/>
      <c r="FT491" s="938"/>
      <c r="FU491" s="938"/>
      <c r="FV491" s="938"/>
      <c r="FW491" s="938"/>
      <c r="FX491" s="938"/>
      <c r="FY491" s="938"/>
      <c r="FZ491" s="938"/>
      <c r="GA491" s="938"/>
      <c r="GB491" s="938"/>
      <c r="GC491" s="938"/>
      <c r="GD491" s="938"/>
      <c r="GE491" s="938"/>
      <c r="GF491" s="938"/>
      <c r="GG491" s="938"/>
      <c r="GH491" s="938"/>
      <c r="GI491" s="938"/>
      <c r="GJ491" s="938"/>
      <c r="GK491" s="938"/>
      <c r="GL491" s="938"/>
      <c r="GM491" s="938"/>
      <c r="GN491" s="938"/>
      <c r="GO491" s="938"/>
      <c r="GP491" s="938"/>
      <c r="GQ491" s="938"/>
      <c r="GR491" s="938"/>
      <c r="GS491" s="938"/>
      <c r="GT491" s="938"/>
      <c r="GU491" s="938"/>
      <c r="GV491" s="938"/>
      <c r="GW491" s="938"/>
      <c r="GX491" s="938"/>
      <c r="GY491" s="938"/>
      <c r="GZ491" s="938"/>
      <c r="HA491" s="938"/>
      <c r="HB491" s="938"/>
      <c r="HC491" s="938"/>
      <c r="HD491" s="938"/>
      <c r="HE491" s="938"/>
      <c r="HF491" s="938"/>
      <c r="HG491" s="938"/>
      <c r="HH491" s="938"/>
      <c r="HI491" s="938"/>
      <c r="HJ491" s="938"/>
      <c r="HK491" s="938"/>
      <c r="HL491" s="938"/>
      <c r="HM491" s="938"/>
      <c r="HN491" s="938"/>
      <c r="HO491" s="938"/>
      <c r="HP491" s="938"/>
      <c r="HQ491" s="938"/>
      <c r="HR491" s="938"/>
    </row>
    <row r="492" spans="1:226" s="939" customFormat="1" ht="24.95" hidden="1" customHeight="1">
      <c r="A492" s="1499"/>
      <c r="B492" s="1500"/>
      <c r="C492" s="1502"/>
      <c r="D492" s="1502"/>
      <c r="E492" s="963"/>
      <c r="F492" s="964">
        <f>SUM(G492:J492)</f>
        <v>0</v>
      </c>
      <c r="G492" s="964"/>
      <c r="H492" s="964"/>
      <c r="I492" s="964"/>
      <c r="J492" s="946"/>
      <c r="K492" s="938"/>
    </row>
    <row r="493" spans="1:226" s="939" customFormat="1" ht="24.95" customHeight="1">
      <c r="A493" s="1499"/>
      <c r="B493" s="1500"/>
      <c r="C493" s="1502"/>
      <c r="D493" s="1502"/>
      <c r="E493" s="966" t="s">
        <v>939</v>
      </c>
      <c r="F493" s="958">
        <f>SUM(F494:F496)</f>
        <v>289974</v>
      </c>
      <c r="G493" s="958">
        <f>SUM(G494:G496)</f>
        <v>0</v>
      </c>
      <c r="H493" s="958">
        <f>SUM(H494:H496)</f>
        <v>145000</v>
      </c>
      <c r="I493" s="958">
        <f>SUM(I494:I496)</f>
        <v>144974</v>
      </c>
      <c r="J493" s="942">
        <f>SUM(J494:J496)</f>
        <v>0</v>
      </c>
      <c r="K493" s="938"/>
    </row>
    <row r="494" spans="1:226" s="939" customFormat="1" ht="15" customHeight="1">
      <c r="A494" s="1499"/>
      <c r="B494" s="1500"/>
      <c r="C494" s="1502"/>
      <c r="D494" s="1502"/>
      <c r="E494" s="963" t="s">
        <v>268</v>
      </c>
      <c r="F494" s="964">
        <f>SUM(G494:J494)</f>
        <v>127974</v>
      </c>
      <c r="G494" s="964"/>
      <c r="H494" s="964"/>
      <c r="I494" s="964">
        <v>127974</v>
      </c>
      <c r="J494" s="946"/>
      <c r="K494" s="938"/>
    </row>
    <row r="495" spans="1:226" s="939" customFormat="1" ht="15" customHeight="1">
      <c r="A495" s="1499"/>
      <c r="B495" s="1500"/>
      <c r="C495" s="1502"/>
      <c r="D495" s="1502"/>
      <c r="E495" s="963" t="s">
        <v>282</v>
      </c>
      <c r="F495" s="964">
        <f>SUM(G495:J495)</f>
        <v>145000</v>
      </c>
      <c r="G495" s="964"/>
      <c r="H495" s="964">
        <v>145000</v>
      </c>
      <c r="I495" s="964"/>
      <c r="J495" s="946"/>
      <c r="K495" s="938"/>
    </row>
    <row r="496" spans="1:226" s="939" customFormat="1" ht="15" customHeight="1" thickBot="1">
      <c r="A496" s="1503"/>
      <c r="B496" s="1504"/>
      <c r="C496" s="1506"/>
      <c r="D496" s="1506"/>
      <c r="E496" s="977">
        <v>6059</v>
      </c>
      <c r="F496" s="978">
        <f>SUM(G496:J496)</f>
        <v>17000</v>
      </c>
      <c r="G496" s="978"/>
      <c r="H496" s="978"/>
      <c r="I496" s="978">
        <v>17000</v>
      </c>
      <c r="J496" s="979"/>
      <c r="K496" s="938"/>
    </row>
    <row r="497" spans="1:11" s="939" customFormat="1" ht="24.95" customHeight="1" thickBot="1">
      <c r="A497" s="931" t="s">
        <v>997</v>
      </c>
      <c r="B497" s="1515" t="s">
        <v>998</v>
      </c>
      <c r="C497" s="1515"/>
      <c r="D497" s="1515"/>
      <c r="E497" s="1515"/>
      <c r="F497" s="980">
        <f>F499+F522+F533+F573</f>
        <v>33968013</v>
      </c>
      <c r="G497" s="980">
        <f>G499+G522+G533+G573</f>
        <v>1785000</v>
      </c>
      <c r="H497" s="980">
        <f>H499+H522+H533+H573</f>
        <v>5557280</v>
      </c>
      <c r="I497" s="980">
        <f>I499+I522+I533+I573</f>
        <v>26625733</v>
      </c>
      <c r="J497" s="981">
        <f>J499+J522+J533+J573</f>
        <v>0</v>
      </c>
      <c r="K497" s="938"/>
    </row>
    <row r="498" spans="1:11" s="939" customFormat="1">
      <c r="A498" s="1516"/>
      <c r="B498" s="1517"/>
      <c r="C498" s="1517"/>
      <c r="D498" s="1517"/>
      <c r="E498" s="1517"/>
      <c r="F498" s="1517"/>
      <c r="G498" s="1517"/>
      <c r="H498" s="1517"/>
      <c r="I498" s="1517"/>
      <c r="J498" s="1518"/>
      <c r="K498" s="938"/>
    </row>
    <row r="499" spans="1:11" s="939" customFormat="1" ht="24.95" customHeight="1">
      <c r="A499" s="1503" t="s">
        <v>935</v>
      </c>
      <c r="B499" s="1500" t="s">
        <v>999</v>
      </c>
      <c r="C499" s="1501"/>
      <c r="D499" s="1501"/>
      <c r="E499" s="954" t="s">
        <v>937</v>
      </c>
      <c r="F499" s="955">
        <f>SUM(F500,F517)</f>
        <v>16313993</v>
      </c>
      <c r="G499" s="955">
        <f>SUM(G500,G517)</f>
        <v>0</v>
      </c>
      <c r="H499" s="955">
        <f>SUM(H500,H517)</f>
        <v>0</v>
      </c>
      <c r="I499" s="955">
        <f>SUM(I500,I517)</f>
        <v>16313993</v>
      </c>
      <c r="J499" s="937">
        <f>SUM(J500,J517)</f>
        <v>0</v>
      </c>
      <c r="K499" s="938"/>
    </row>
    <row r="500" spans="1:11" s="939" customFormat="1" ht="24.95" customHeight="1">
      <c r="A500" s="1507"/>
      <c r="B500" s="1500"/>
      <c r="C500" s="1501"/>
      <c r="D500" s="1501"/>
      <c r="E500" s="957" t="s">
        <v>440</v>
      </c>
      <c r="F500" s="958">
        <f>SUM(F501:F516)</f>
        <v>16127813</v>
      </c>
      <c r="G500" s="958">
        <f>SUM(G501:G516)</f>
        <v>0</v>
      </c>
      <c r="H500" s="958">
        <f>SUM(H501:H516)</f>
        <v>0</v>
      </c>
      <c r="I500" s="958">
        <f>SUM(I501:I516)</f>
        <v>16127813</v>
      </c>
      <c r="J500" s="942">
        <f>SUM(J501:J516)</f>
        <v>0</v>
      </c>
      <c r="K500" s="938"/>
    </row>
    <row r="501" spans="1:11" s="939" customFormat="1" ht="15" customHeight="1">
      <c r="A501" s="1507"/>
      <c r="B501" s="1500"/>
      <c r="C501" s="1501">
        <v>150</v>
      </c>
      <c r="D501" s="1502" t="s">
        <v>346</v>
      </c>
      <c r="E501" s="963" t="s">
        <v>348</v>
      </c>
      <c r="F501" s="964">
        <f t="shared" ref="F501:F516" si="18">SUM(G501:J501)</f>
        <v>5445370</v>
      </c>
      <c r="G501" s="964"/>
      <c r="H501" s="964"/>
      <c r="I501" s="964">
        <v>5445370</v>
      </c>
      <c r="J501" s="946"/>
      <c r="K501" s="938"/>
    </row>
    <row r="502" spans="1:11" s="939" customFormat="1" ht="15" hidden="1" customHeight="1">
      <c r="A502" s="1507"/>
      <c r="B502" s="1500"/>
      <c r="C502" s="1501"/>
      <c r="D502" s="1502"/>
      <c r="E502" s="963" t="s">
        <v>977</v>
      </c>
      <c r="F502" s="964">
        <f t="shared" si="18"/>
        <v>0</v>
      </c>
      <c r="G502" s="964"/>
      <c r="H502" s="964"/>
      <c r="I502" s="964"/>
      <c r="J502" s="946"/>
      <c r="K502" s="938"/>
    </row>
    <row r="503" spans="1:11" s="939" customFormat="1" ht="15" customHeight="1">
      <c r="A503" s="1507"/>
      <c r="B503" s="1500"/>
      <c r="C503" s="1501"/>
      <c r="D503" s="1502" t="s">
        <v>351</v>
      </c>
      <c r="E503" s="963" t="s">
        <v>348</v>
      </c>
      <c r="F503" s="964">
        <f t="shared" si="18"/>
        <v>3115000</v>
      </c>
      <c r="G503" s="964"/>
      <c r="H503" s="964"/>
      <c r="I503" s="964">
        <v>3115000</v>
      </c>
      <c r="J503" s="946"/>
      <c r="K503" s="938"/>
    </row>
    <row r="504" spans="1:11" s="939" customFormat="1" ht="15" hidden="1" customHeight="1">
      <c r="A504" s="1507"/>
      <c r="B504" s="1500"/>
      <c r="C504" s="1501"/>
      <c r="D504" s="1502"/>
      <c r="E504" s="963" t="s">
        <v>977</v>
      </c>
      <c r="F504" s="964">
        <f t="shared" si="18"/>
        <v>0</v>
      </c>
      <c r="G504" s="964"/>
      <c r="H504" s="964"/>
      <c r="I504" s="964"/>
      <c r="J504" s="946"/>
      <c r="K504" s="938"/>
    </row>
    <row r="505" spans="1:11" s="939" customFormat="1" ht="15" customHeight="1">
      <c r="A505" s="1507"/>
      <c r="B505" s="1500"/>
      <c r="C505" s="1501">
        <v>801</v>
      </c>
      <c r="D505" s="1502" t="s">
        <v>531</v>
      </c>
      <c r="E505" s="963" t="s">
        <v>348</v>
      </c>
      <c r="F505" s="964">
        <f t="shared" si="18"/>
        <v>1442590</v>
      </c>
      <c r="G505" s="964"/>
      <c r="H505" s="964"/>
      <c r="I505" s="964">
        <v>1442590</v>
      </c>
      <c r="J505" s="946"/>
      <c r="K505" s="938"/>
    </row>
    <row r="506" spans="1:11" s="939" customFormat="1" ht="15" hidden="1" customHeight="1">
      <c r="A506" s="1507"/>
      <c r="B506" s="1500"/>
      <c r="C506" s="1501"/>
      <c r="D506" s="1502"/>
      <c r="E506" s="963" t="s">
        <v>977</v>
      </c>
      <c r="F506" s="964">
        <f t="shared" si="18"/>
        <v>0</v>
      </c>
      <c r="G506" s="964"/>
      <c r="H506" s="964"/>
      <c r="I506" s="964"/>
      <c r="J506" s="946"/>
      <c r="K506" s="938"/>
    </row>
    <row r="507" spans="1:11" s="939" customFormat="1" ht="15" customHeight="1">
      <c r="A507" s="1507"/>
      <c r="B507" s="1500"/>
      <c r="C507" s="1501">
        <v>852</v>
      </c>
      <c r="D507" s="1502" t="s">
        <v>584</v>
      </c>
      <c r="E507" s="963" t="s">
        <v>348</v>
      </c>
      <c r="F507" s="964">
        <f t="shared" si="18"/>
        <v>260816</v>
      </c>
      <c r="G507" s="964"/>
      <c r="H507" s="964"/>
      <c r="I507" s="964">
        <v>260816</v>
      </c>
      <c r="J507" s="946"/>
      <c r="K507" s="938"/>
    </row>
    <row r="508" spans="1:11" s="939" customFormat="1" ht="15" hidden="1" customHeight="1">
      <c r="A508" s="1507"/>
      <c r="B508" s="1500"/>
      <c r="C508" s="1501"/>
      <c r="D508" s="1502"/>
      <c r="E508" s="963" t="s">
        <v>977</v>
      </c>
      <c r="F508" s="964">
        <f t="shared" si="18"/>
        <v>0</v>
      </c>
      <c r="G508" s="964"/>
      <c r="H508" s="964"/>
      <c r="I508" s="964"/>
      <c r="J508" s="946"/>
      <c r="K508" s="938"/>
    </row>
    <row r="509" spans="1:11" s="939" customFormat="1" ht="15" customHeight="1">
      <c r="A509" s="1507"/>
      <c r="B509" s="1500"/>
      <c r="C509" s="1501"/>
      <c r="D509" s="1502" t="s">
        <v>586</v>
      </c>
      <c r="E509" s="963" t="s">
        <v>348</v>
      </c>
      <c r="F509" s="964">
        <f t="shared" si="18"/>
        <v>593045</v>
      </c>
      <c r="G509" s="964"/>
      <c r="H509" s="964"/>
      <c r="I509" s="964">
        <v>593045</v>
      </c>
      <c r="J509" s="946"/>
      <c r="K509" s="938"/>
    </row>
    <row r="510" spans="1:11" s="939" customFormat="1" ht="15" hidden="1" customHeight="1">
      <c r="A510" s="1507"/>
      <c r="B510" s="1500"/>
      <c r="C510" s="1501"/>
      <c r="D510" s="1502"/>
      <c r="E510" s="963" t="s">
        <v>977</v>
      </c>
      <c r="F510" s="964">
        <f t="shared" si="18"/>
        <v>0</v>
      </c>
      <c r="G510" s="964"/>
      <c r="H510" s="964"/>
      <c r="I510" s="964"/>
      <c r="J510" s="946"/>
      <c r="K510" s="938"/>
    </row>
    <row r="511" spans="1:11" s="939" customFormat="1" ht="15" customHeight="1">
      <c r="A511" s="1507"/>
      <c r="B511" s="1500"/>
      <c r="C511" s="1501"/>
      <c r="D511" s="1502" t="s">
        <v>589</v>
      </c>
      <c r="E511" s="963" t="s">
        <v>348</v>
      </c>
      <c r="F511" s="964">
        <f t="shared" si="18"/>
        <v>3054420</v>
      </c>
      <c r="G511" s="964"/>
      <c r="H511" s="964"/>
      <c r="I511" s="964">
        <v>3054420</v>
      </c>
      <c r="J511" s="946"/>
      <c r="K511" s="938"/>
    </row>
    <row r="512" spans="1:11" s="939" customFormat="1" ht="15" hidden="1" customHeight="1">
      <c r="A512" s="1507"/>
      <c r="B512" s="1500"/>
      <c r="C512" s="1501"/>
      <c r="D512" s="1502"/>
      <c r="E512" s="963" t="s">
        <v>977</v>
      </c>
      <c r="F512" s="964">
        <f t="shared" si="18"/>
        <v>0</v>
      </c>
      <c r="G512" s="964"/>
      <c r="H512" s="964"/>
      <c r="I512" s="964"/>
      <c r="J512" s="946"/>
      <c r="K512" s="938"/>
    </row>
    <row r="513" spans="1:226" s="939" customFormat="1" ht="15" customHeight="1">
      <c r="A513" s="1507"/>
      <c r="B513" s="1500"/>
      <c r="C513" s="1501">
        <v>853</v>
      </c>
      <c r="D513" s="1502" t="s">
        <v>618</v>
      </c>
      <c r="E513" s="963" t="s">
        <v>348</v>
      </c>
      <c r="F513" s="964">
        <f t="shared" si="18"/>
        <v>1744012</v>
      </c>
      <c r="G513" s="964"/>
      <c r="H513" s="964"/>
      <c r="I513" s="964">
        <v>1744012</v>
      </c>
      <c r="J513" s="946"/>
      <c r="K513" s="938"/>
    </row>
    <row r="514" spans="1:226" s="939" customFormat="1" ht="15" hidden="1" customHeight="1">
      <c r="A514" s="1507"/>
      <c r="B514" s="1500"/>
      <c r="C514" s="1501"/>
      <c r="D514" s="1502"/>
      <c r="E514" s="963" t="s">
        <v>977</v>
      </c>
      <c r="F514" s="964">
        <f t="shared" si="18"/>
        <v>0</v>
      </c>
      <c r="G514" s="964"/>
      <c r="H514" s="964"/>
      <c r="I514" s="964"/>
      <c r="J514" s="946"/>
      <c r="K514" s="938"/>
    </row>
    <row r="515" spans="1:226" s="939" customFormat="1" ht="15" customHeight="1">
      <c r="A515" s="1507"/>
      <c r="B515" s="1500"/>
      <c r="C515" s="1501">
        <v>854</v>
      </c>
      <c r="D515" s="1502" t="s">
        <v>631</v>
      </c>
      <c r="E515" s="963" t="s">
        <v>348</v>
      </c>
      <c r="F515" s="964">
        <f t="shared" si="18"/>
        <v>472560</v>
      </c>
      <c r="G515" s="964"/>
      <c r="H515" s="964"/>
      <c r="I515" s="964">
        <v>472560</v>
      </c>
      <c r="J515" s="946"/>
      <c r="K515" s="938"/>
    </row>
    <row r="516" spans="1:226" s="939" customFormat="1" ht="15" hidden="1" customHeight="1">
      <c r="A516" s="1507"/>
      <c r="B516" s="1500"/>
      <c r="C516" s="1501"/>
      <c r="D516" s="1502"/>
      <c r="E516" s="963" t="s">
        <v>977</v>
      </c>
      <c r="F516" s="964">
        <f t="shared" si="18"/>
        <v>0</v>
      </c>
      <c r="G516" s="964"/>
      <c r="H516" s="964"/>
      <c r="I516" s="964"/>
      <c r="J516" s="946"/>
      <c r="K516" s="938"/>
    </row>
    <row r="517" spans="1:226" s="939" customFormat="1" ht="24.95" customHeight="1">
      <c r="A517" s="1507"/>
      <c r="B517" s="1500"/>
      <c r="C517" s="1501"/>
      <c r="D517" s="1501"/>
      <c r="E517" s="966" t="s">
        <v>939</v>
      </c>
      <c r="F517" s="958">
        <f>SUM(F518:F521)</f>
        <v>186180</v>
      </c>
      <c r="G517" s="958">
        <f>SUM(G518:G521)</f>
        <v>0</v>
      </c>
      <c r="H517" s="958">
        <f>SUM(H518:H521)</f>
        <v>0</v>
      </c>
      <c r="I517" s="958">
        <f>SUM(I518:I521)</f>
        <v>186180</v>
      </c>
      <c r="J517" s="942">
        <f>SUM(J518:J521)</f>
        <v>0</v>
      </c>
      <c r="K517" s="938"/>
    </row>
    <row r="518" spans="1:226" s="939" customFormat="1" ht="15" hidden="1" customHeight="1">
      <c r="A518" s="1507"/>
      <c r="B518" s="1500"/>
      <c r="C518" s="986">
        <v>150</v>
      </c>
      <c r="D518" s="963" t="s">
        <v>346</v>
      </c>
      <c r="E518" s="963" t="s">
        <v>350</v>
      </c>
      <c r="F518" s="964">
        <f t="shared" ref="F518:F521" si="19">SUM(G518:J518)</f>
        <v>0</v>
      </c>
      <c r="G518" s="964"/>
      <c r="H518" s="964"/>
      <c r="I518" s="964"/>
      <c r="J518" s="946"/>
      <c r="K518" s="938"/>
    </row>
    <row r="519" spans="1:226" s="939" customFormat="1" ht="15" customHeight="1">
      <c r="A519" s="1507"/>
      <c r="B519" s="1500"/>
      <c r="C519" s="986">
        <v>801</v>
      </c>
      <c r="D519" s="963" t="s">
        <v>531</v>
      </c>
      <c r="E519" s="963" t="s">
        <v>350</v>
      </c>
      <c r="F519" s="964">
        <f t="shared" si="19"/>
        <v>180180</v>
      </c>
      <c r="G519" s="964"/>
      <c r="H519" s="964"/>
      <c r="I519" s="964">
        <v>180180</v>
      </c>
      <c r="J519" s="946"/>
      <c r="K519" s="938"/>
    </row>
    <row r="520" spans="1:226" s="939" customFormat="1" ht="15" hidden="1" customHeight="1">
      <c r="A520" s="1507"/>
      <c r="B520" s="1500"/>
      <c r="C520" s="986">
        <v>853</v>
      </c>
      <c r="D520" s="963" t="s">
        <v>618</v>
      </c>
      <c r="E520" s="963" t="s">
        <v>940</v>
      </c>
      <c r="F520" s="964">
        <f t="shared" si="19"/>
        <v>0</v>
      </c>
      <c r="G520" s="964"/>
      <c r="H520" s="964"/>
      <c r="I520" s="964"/>
      <c r="J520" s="946"/>
      <c r="K520" s="938"/>
    </row>
    <row r="521" spans="1:226" s="939" customFormat="1" ht="15" customHeight="1">
      <c r="A521" s="1508"/>
      <c r="B521" s="1500"/>
      <c r="C521" s="986">
        <v>854</v>
      </c>
      <c r="D521" s="963" t="s">
        <v>631</v>
      </c>
      <c r="E521" s="963" t="s">
        <v>350</v>
      </c>
      <c r="F521" s="964">
        <f t="shared" si="19"/>
        <v>6000</v>
      </c>
      <c r="G521" s="964"/>
      <c r="H521" s="964"/>
      <c r="I521" s="964">
        <v>6000</v>
      </c>
      <c r="J521" s="946"/>
      <c r="K521" s="938"/>
    </row>
    <row r="522" spans="1:226" s="934" customFormat="1" ht="24.95" hidden="1" customHeight="1">
      <c r="A522" s="1499"/>
      <c r="B522" s="1500" t="s">
        <v>1000</v>
      </c>
      <c r="C522" s="1501">
        <v>150</v>
      </c>
      <c r="D522" s="1502" t="s">
        <v>1001</v>
      </c>
      <c r="E522" s="954" t="s">
        <v>937</v>
      </c>
      <c r="F522" s="955">
        <f>SUM(F523,F530)</f>
        <v>0</v>
      </c>
      <c r="G522" s="955">
        <f>SUM(G523,G530)</f>
        <v>0</v>
      </c>
      <c r="H522" s="955">
        <f>SUM(H523,H530)</f>
        <v>0</v>
      </c>
      <c r="I522" s="955">
        <f>SUM(I523,I530)</f>
        <v>0</v>
      </c>
      <c r="J522" s="937">
        <f>SUM(J523,J530)</f>
        <v>0</v>
      </c>
    </row>
    <row r="523" spans="1:226" s="930" customFormat="1" ht="24.95" hidden="1" customHeight="1">
      <c r="A523" s="1499"/>
      <c r="B523" s="1500"/>
      <c r="C523" s="1501"/>
      <c r="D523" s="1502"/>
      <c r="E523" s="957" t="s">
        <v>943</v>
      </c>
      <c r="F523" s="958">
        <f>SUM(F524,F527)</f>
        <v>0</v>
      </c>
      <c r="G523" s="958">
        <f>SUM(G524,G527)</f>
        <v>0</v>
      </c>
      <c r="H523" s="958">
        <f>SUM(H524,H527)</f>
        <v>0</v>
      </c>
      <c r="I523" s="958">
        <f>SUM(I524,I527)</f>
        <v>0</v>
      </c>
      <c r="J523" s="942">
        <f>SUM(J524,J527)</f>
        <v>0</v>
      </c>
    </row>
    <row r="524" spans="1:226" s="939" customFormat="1" ht="24.95" hidden="1" customHeight="1">
      <c r="A524" s="1499"/>
      <c r="B524" s="1500"/>
      <c r="C524" s="1501"/>
      <c r="D524" s="1502"/>
      <c r="E524" s="960" t="s">
        <v>944</v>
      </c>
      <c r="F524" s="961">
        <f>SUM(F525:F526)</f>
        <v>0</v>
      </c>
      <c r="G524" s="961">
        <f>SUM(G525:G526)</f>
        <v>0</v>
      </c>
      <c r="H524" s="961">
        <f>SUM(H525:H526)</f>
        <v>0</v>
      </c>
      <c r="I524" s="961">
        <f>SUM(I525:I526)</f>
        <v>0</v>
      </c>
      <c r="J524" s="951">
        <f>SUM(J525:J526)</f>
        <v>0</v>
      </c>
      <c r="K524" s="938"/>
      <c r="L524" s="938"/>
      <c r="M524" s="938"/>
      <c r="N524" s="938"/>
      <c r="O524" s="938"/>
      <c r="P524" s="938"/>
      <c r="Q524" s="938"/>
      <c r="R524" s="938"/>
      <c r="S524" s="938"/>
      <c r="T524" s="938"/>
      <c r="U524" s="938"/>
      <c r="V524" s="938"/>
      <c r="W524" s="938"/>
      <c r="X524" s="938"/>
      <c r="Y524" s="938"/>
      <c r="Z524" s="938"/>
      <c r="AA524" s="938"/>
      <c r="AB524" s="938"/>
      <c r="AC524" s="938"/>
      <c r="AD524" s="938"/>
      <c r="AE524" s="938"/>
      <c r="AF524" s="938"/>
      <c r="AG524" s="938"/>
      <c r="AH524" s="938"/>
      <c r="AI524" s="938"/>
      <c r="AJ524" s="938"/>
      <c r="AK524" s="938"/>
      <c r="AL524" s="938"/>
      <c r="AM524" s="938"/>
      <c r="AN524" s="938"/>
      <c r="AO524" s="938"/>
      <c r="AP524" s="938"/>
      <c r="AQ524" s="938"/>
      <c r="AR524" s="938"/>
      <c r="AS524" s="938"/>
      <c r="AT524" s="938"/>
      <c r="AU524" s="938"/>
      <c r="AV524" s="938"/>
      <c r="AW524" s="938"/>
      <c r="AX524" s="938"/>
      <c r="AY524" s="938"/>
      <c r="AZ524" s="938"/>
      <c r="BA524" s="938"/>
      <c r="BB524" s="938"/>
      <c r="BC524" s="938"/>
      <c r="BD524" s="938"/>
      <c r="BE524" s="938"/>
      <c r="BF524" s="938"/>
      <c r="BG524" s="938"/>
      <c r="BH524" s="938"/>
      <c r="BI524" s="938"/>
      <c r="BJ524" s="938"/>
      <c r="BK524" s="938"/>
      <c r="BL524" s="938"/>
      <c r="BM524" s="938"/>
      <c r="BN524" s="938"/>
      <c r="BO524" s="938"/>
      <c r="BP524" s="938"/>
      <c r="BQ524" s="938"/>
      <c r="BR524" s="938"/>
      <c r="BS524" s="938"/>
      <c r="BT524" s="938"/>
      <c r="BU524" s="938"/>
      <c r="BV524" s="938"/>
      <c r="BW524" s="938"/>
      <c r="BX524" s="938"/>
      <c r="BY524" s="938"/>
      <c r="BZ524" s="938"/>
      <c r="CA524" s="938"/>
      <c r="CB524" s="938"/>
      <c r="CC524" s="938"/>
      <c r="CD524" s="938"/>
      <c r="CE524" s="938"/>
      <c r="CF524" s="938"/>
      <c r="CG524" s="938"/>
      <c r="CH524" s="938"/>
      <c r="CI524" s="938"/>
      <c r="CJ524" s="938"/>
      <c r="CK524" s="938"/>
      <c r="CL524" s="938"/>
      <c r="CM524" s="938"/>
      <c r="CN524" s="938"/>
      <c r="CO524" s="938"/>
      <c r="CP524" s="938"/>
      <c r="CQ524" s="938"/>
      <c r="CR524" s="938"/>
      <c r="CS524" s="938"/>
      <c r="CT524" s="938"/>
      <c r="CU524" s="938"/>
      <c r="CV524" s="938"/>
      <c r="CW524" s="938"/>
      <c r="CX524" s="938"/>
      <c r="CY524" s="938"/>
      <c r="CZ524" s="938"/>
      <c r="DA524" s="938"/>
      <c r="DB524" s="938"/>
      <c r="DC524" s="938"/>
      <c r="DD524" s="938"/>
      <c r="DE524" s="938"/>
      <c r="DF524" s="938"/>
      <c r="DG524" s="938"/>
      <c r="DH524" s="938"/>
      <c r="DI524" s="938"/>
      <c r="DJ524" s="938"/>
      <c r="DK524" s="938"/>
      <c r="DL524" s="938"/>
      <c r="DM524" s="938"/>
      <c r="DN524" s="938"/>
      <c r="DO524" s="938"/>
      <c r="DP524" s="938"/>
      <c r="DQ524" s="938"/>
      <c r="DR524" s="938"/>
      <c r="DS524" s="938"/>
      <c r="DT524" s="938"/>
      <c r="DU524" s="938"/>
      <c r="DV524" s="938"/>
      <c r="DW524" s="938"/>
      <c r="DX524" s="938"/>
      <c r="DY524" s="938"/>
      <c r="DZ524" s="938"/>
      <c r="EA524" s="938"/>
      <c r="EB524" s="938"/>
      <c r="EC524" s="938"/>
      <c r="ED524" s="938"/>
      <c r="EE524" s="938"/>
      <c r="EF524" s="938"/>
      <c r="EG524" s="938"/>
      <c r="EH524" s="938"/>
      <c r="EI524" s="938"/>
      <c r="EJ524" s="938"/>
      <c r="EK524" s="938"/>
      <c r="EL524" s="938"/>
      <c r="EM524" s="938"/>
      <c r="EN524" s="938"/>
      <c r="EO524" s="938"/>
      <c r="EP524" s="938"/>
      <c r="EQ524" s="938"/>
      <c r="ER524" s="938"/>
      <c r="ES524" s="938"/>
      <c r="ET524" s="938"/>
      <c r="EU524" s="938"/>
      <c r="EV524" s="938"/>
      <c r="EW524" s="938"/>
      <c r="EX524" s="938"/>
      <c r="EY524" s="938"/>
      <c r="EZ524" s="938"/>
      <c r="FA524" s="938"/>
      <c r="FB524" s="938"/>
      <c r="FC524" s="938"/>
      <c r="FD524" s="938"/>
      <c r="FE524" s="938"/>
      <c r="FF524" s="938"/>
      <c r="FG524" s="938"/>
      <c r="FH524" s="938"/>
      <c r="FI524" s="938"/>
      <c r="FJ524" s="938"/>
      <c r="FK524" s="938"/>
      <c r="FL524" s="938"/>
      <c r="FM524" s="938"/>
      <c r="FN524" s="938"/>
      <c r="FO524" s="938"/>
      <c r="FP524" s="938"/>
      <c r="FQ524" s="938"/>
      <c r="FR524" s="938"/>
      <c r="FS524" s="938"/>
      <c r="FT524" s="938"/>
      <c r="FU524" s="938"/>
      <c r="FV524" s="938"/>
      <c r="FW524" s="938"/>
      <c r="FX524" s="938"/>
      <c r="FY524" s="938"/>
      <c r="FZ524" s="938"/>
      <c r="GA524" s="938"/>
      <c r="GB524" s="938"/>
      <c r="GC524" s="938"/>
      <c r="GD524" s="938"/>
      <c r="GE524" s="938"/>
      <c r="GF524" s="938"/>
      <c r="GG524" s="938"/>
      <c r="GH524" s="938"/>
      <c r="GI524" s="938"/>
      <c r="GJ524" s="938"/>
      <c r="GK524" s="938"/>
      <c r="GL524" s="938"/>
      <c r="GM524" s="938"/>
      <c r="GN524" s="938"/>
      <c r="GO524" s="938"/>
      <c r="GP524" s="938"/>
      <c r="GQ524" s="938"/>
      <c r="GR524" s="938"/>
      <c r="GS524" s="938"/>
      <c r="GT524" s="938"/>
      <c r="GU524" s="938"/>
      <c r="GV524" s="938"/>
      <c r="GW524" s="938"/>
      <c r="GX524" s="938"/>
      <c r="GY524" s="938"/>
      <c r="GZ524" s="938"/>
      <c r="HA524" s="938"/>
      <c r="HB524" s="938"/>
      <c r="HC524" s="938"/>
      <c r="HD524" s="938"/>
      <c r="HE524" s="938"/>
      <c r="HF524" s="938"/>
      <c r="HG524" s="938"/>
      <c r="HH524" s="938"/>
      <c r="HI524" s="938"/>
      <c r="HJ524" s="938"/>
      <c r="HK524" s="938"/>
      <c r="HL524" s="938"/>
      <c r="HM524" s="938"/>
      <c r="HN524" s="938"/>
      <c r="HO524" s="938"/>
      <c r="HP524" s="938"/>
      <c r="HQ524" s="938"/>
      <c r="HR524" s="938"/>
    </row>
    <row r="525" spans="1:226" s="939" customFormat="1" ht="15" hidden="1" customHeight="1">
      <c r="A525" s="1499"/>
      <c r="B525" s="1500"/>
      <c r="C525" s="1501"/>
      <c r="D525" s="1502"/>
      <c r="E525" s="963"/>
      <c r="F525" s="964">
        <f t="shared" ref="F525:F526" si="20">SUM(G525:J525)</f>
        <v>0</v>
      </c>
      <c r="G525" s="964"/>
      <c r="H525" s="964"/>
      <c r="I525" s="964"/>
      <c r="J525" s="946"/>
      <c r="K525" s="938"/>
    </row>
    <row r="526" spans="1:226" s="939" customFormat="1" ht="15" hidden="1" customHeight="1">
      <c r="A526" s="1499"/>
      <c r="B526" s="1500"/>
      <c r="C526" s="1501"/>
      <c r="D526" s="1502"/>
      <c r="E526" s="963"/>
      <c r="F526" s="964">
        <f t="shared" si="20"/>
        <v>0</v>
      </c>
      <c r="G526" s="964"/>
      <c r="H526" s="964"/>
      <c r="I526" s="964"/>
      <c r="J526" s="946"/>
      <c r="K526" s="938"/>
    </row>
    <row r="527" spans="1:226" s="939" customFormat="1" ht="24.95" hidden="1" customHeight="1">
      <c r="A527" s="1499"/>
      <c r="B527" s="1500"/>
      <c r="C527" s="1501"/>
      <c r="D527" s="1502"/>
      <c r="E527" s="960" t="s">
        <v>945</v>
      </c>
      <c r="F527" s="961">
        <f>SUM(F528:F529)</f>
        <v>0</v>
      </c>
      <c r="G527" s="961">
        <f>SUM(G528:G529)</f>
        <v>0</v>
      </c>
      <c r="H527" s="961">
        <f>SUM(H528:H529)</f>
        <v>0</v>
      </c>
      <c r="I527" s="961">
        <f>SUM(I528:I529)</f>
        <v>0</v>
      </c>
      <c r="J527" s="951">
        <f>SUM(J528:J529)</f>
        <v>0</v>
      </c>
      <c r="K527" s="938"/>
    </row>
    <row r="528" spans="1:226" s="939" customFormat="1" ht="15" hidden="1" customHeight="1">
      <c r="A528" s="1499"/>
      <c r="B528" s="1500"/>
      <c r="C528" s="1501"/>
      <c r="D528" s="1502"/>
      <c r="E528" s="963"/>
      <c r="F528" s="964">
        <f t="shared" ref="F528:F529" si="21">SUM(G528:J528)</f>
        <v>0</v>
      </c>
      <c r="G528" s="964"/>
      <c r="H528" s="964"/>
      <c r="I528" s="964"/>
      <c r="J528" s="946"/>
      <c r="K528" s="938"/>
    </row>
    <row r="529" spans="1:226" s="939" customFormat="1" ht="15" hidden="1" customHeight="1">
      <c r="A529" s="1499"/>
      <c r="B529" s="1500"/>
      <c r="C529" s="1501"/>
      <c r="D529" s="1502"/>
      <c r="E529" s="963"/>
      <c r="F529" s="964">
        <f t="shared" si="21"/>
        <v>0</v>
      </c>
      <c r="G529" s="964"/>
      <c r="H529" s="964"/>
      <c r="I529" s="964"/>
      <c r="J529" s="946"/>
      <c r="K529" s="938"/>
    </row>
    <row r="530" spans="1:226" s="939" customFormat="1" ht="24.95" hidden="1" customHeight="1">
      <c r="A530" s="1499"/>
      <c r="B530" s="1500"/>
      <c r="C530" s="1501"/>
      <c r="D530" s="1502"/>
      <c r="E530" s="966" t="s">
        <v>939</v>
      </c>
      <c r="F530" s="958">
        <f>SUM(F531:F532)</f>
        <v>0</v>
      </c>
      <c r="G530" s="958">
        <f>SUM(G531:G532)</f>
        <v>0</v>
      </c>
      <c r="H530" s="958">
        <f>SUM(H531:H532)</f>
        <v>0</v>
      </c>
      <c r="I530" s="958">
        <f>SUM(I531:I532)</f>
        <v>0</v>
      </c>
      <c r="J530" s="942">
        <f>SUM(J531:J532)</f>
        <v>0</v>
      </c>
      <c r="K530" s="938"/>
    </row>
    <row r="531" spans="1:226" s="939" customFormat="1" ht="15" hidden="1" customHeight="1">
      <c r="A531" s="1499"/>
      <c r="B531" s="1500"/>
      <c r="C531" s="1501"/>
      <c r="D531" s="1502"/>
      <c r="E531" s="963"/>
      <c r="F531" s="964">
        <f>SUM(G531:J531)</f>
        <v>0</v>
      </c>
      <c r="G531" s="964"/>
      <c r="H531" s="964"/>
      <c r="I531" s="964"/>
      <c r="J531" s="946"/>
      <c r="K531" s="938"/>
    </row>
    <row r="532" spans="1:226" s="939" customFormat="1" ht="15" hidden="1" customHeight="1">
      <c r="A532" s="1499"/>
      <c r="B532" s="1500"/>
      <c r="C532" s="1501"/>
      <c r="D532" s="1502"/>
      <c r="E532" s="975"/>
      <c r="F532" s="964">
        <f>SUM(G532:J532)</f>
        <v>0</v>
      </c>
      <c r="G532" s="964"/>
      <c r="H532" s="964"/>
      <c r="I532" s="964"/>
      <c r="J532" s="946"/>
      <c r="K532" s="938"/>
    </row>
    <row r="533" spans="1:226" s="939" customFormat="1" ht="24.95" customHeight="1">
      <c r="A533" s="1503" t="s">
        <v>948</v>
      </c>
      <c r="B533" s="1504" t="s">
        <v>1002</v>
      </c>
      <c r="C533" s="1505">
        <v>801</v>
      </c>
      <c r="D533" s="1506" t="s">
        <v>531</v>
      </c>
      <c r="E533" s="954" t="s">
        <v>937</v>
      </c>
      <c r="F533" s="955">
        <f>SUM(F534,F570)</f>
        <v>5754020</v>
      </c>
      <c r="G533" s="955">
        <f>SUM(G534,G570)</f>
        <v>0</v>
      </c>
      <c r="H533" s="955">
        <f>SUM(H534,H570)</f>
        <v>5557280</v>
      </c>
      <c r="I533" s="955">
        <f>SUM(I534,I570)</f>
        <v>196740</v>
      </c>
      <c r="J533" s="937">
        <f>SUM(J534,J570)</f>
        <v>0</v>
      </c>
      <c r="K533" s="938"/>
      <c r="L533" s="938"/>
      <c r="M533" s="938"/>
      <c r="N533" s="938"/>
      <c r="O533" s="938"/>
      <c r="P533" s="938"/>
      <c r="Q533" s="938"/>
      <c r="R533" s="938"/>
      <c r="S533" s="938"/>
      <c r="T533" s="938"/>
      <c r="U533" s="938"/>
      <c r="V533" s="938"/>
      <c r="W533" s="938"/>
      <c r="X533" s="938"/>
      <c r="Y533" s="938"/>
      <c r="Z533" s="938"/>
      <c r="AA533" s="938"/>
      <c r="AB533" s="938"/>
      <c r="AC533" s="938"/>
      <c r="AD533" s="938"/>
      <c r="AE533" s="938"/>
      <c r="AF533" s="938"/>
      <c r="AG533" s="938"/>
      <c r="AH533" s="938"/>
      <c r="AI533" s="938"/>
      <c r="AJ533" s="938"/>
      <c r="AK533" s="938"/>
      <c r="AL533" s="938"/>
      <c r="AM533" s="938"/>
      <c r="AN533" s="938"/>
      <c r="AO533" s="938"/>
      <c r="AP533" s="938"/>
      <c r="AQ533" s="938"/>
      <c r="AR533" s="938"/>
      <c r="AS533" s="938"/>
      <c r="AT533" s="938"/>
      <c r="AU533" s="938"/>
      <c r="AV533" s="938"/>
      <c r="AW533" s="938"/>
      <c r="AX533" s="938"/>
      <c r="AY533" s="938"/>
      <c r="AZ533" s="938"/>
      <c r="BA533" s="938"/>
      <c r="BB533" s="938"/>
      <c r="BC533" s="938"/>
      <c r="BD533" s="938"/>
      <c r="BE533" s="938"/>
      <c r="BF533" s="938"/>
      <c r="BG533" s="938"/>
      <c r="BH533" s="938"/>
      <c r="BI533" s="938"/>
      <c r="BJ533" s="938"/>
      <c r="BK533" s="938"/>
      <c r="BL533" s="938"/>
      <c r="BM533" s="938"/>
      <c r="BN533" s="938"/>
      <c r="BO533" s="938"/>
      <c r="BP533" s="938"/>
      <c r="BQ533" s="938"/>
      <c r="BR533" s="938"/>
      <c r="BS533" s="938"/>
      <c r="BT533" s="938"/>
      <c r="BU533" s="938"/>
      <c r="BV533" s="938"/>
      <c r="BW533" s="938"/>
      <c r="BX533" s="938"/>
      <c r="BY533" s="938"/>
      <c r="BZ533" s="938"/>
      <c r="CA533" s="938"/>
      <c r="CB533" s="938"/>
      <c r="CC533" s="938"/>
      <c r="CD533" s="938"/>
      <c r="CE533" s="938"/>
      <c r="CF533" s="938"/>
      <c r="CG533" s="938"/>
      <c r="CH533" s="938"/>
      <c r="CI533" s="938"/>
      <c r="CJ533" s="938"/>
      <c r="CK533" s="938"/>
      <c r="CL533" s="938"/>
      <c r="CM533" s="938"/>
      <c r="CN533" s="938"/>
      <c r="CO533" s="938"/>
      <c r="CP533" s="938"/>
      <c r="CQ533" s="938"/>
      <c r="CR533" s="938"/>
      <c r="CS533" s="938"/>
      <c r="CT533" s="938"/>
      <c r="CU533" s="938"/>
      <c r="CV533" s="938"/>
      <c r="CW533" s="938"/>
      <c r="CX533" s="938"/>
      <c r="CY533" s="938"/>
      <c r="CZ533" s="938"/>
      <c r="DA533" s="938"/>
      <c r="DB533" s="938"/>
      <c r="DC533" s="938"/>
      <c r="DD533" s="938"/>
      <c r="DE533" s="938"/>
      <c r="DF533" s="938"/>
      <c r="DG533" s="938"/>
      <c r="DH533" s="938"/>
      <c r="DI533" s="938"/>
      <c r="DJ533" s="938"/>
      <c r="DK533" s="938"/>
      <c r="DL533" s="938"/>
      <c r="DM533" s="938"/>
      <c r="DN533" s="938"/>
      <c r="DO533" s="938"/>
      <c r="DP533" s="938"/>
      <c r="DQ533" s="938"/>
      <c r="DR533" s="938"/>
      <c r="DS533" s="938"/>
      <c r="DT533" s="938"/>
      <c r="DU533" s="938"/>
      <c r="DV533" s="938"/>
      <c r="DW533" s="938"/>
      <c r="DX533" s="938"/>
      <c r="DY533" s="938"/>
      <c r="DZ533" s="938"/>
      <c r="EA533" s="938"/>
      <c r="EB533" s="938"/>
      <c r="EC533" s="938"/>
      <c r="ED533" s="938"/>
      <c r="EE533" s="938"/>
      <c r="EF533" s="938"/>
      <c r="EG533" s="938"/>
      <c r="EH533" s="938"/>
      <c r="EI533" s="938"/>
      <c r="EJ533" s="938"/>
      <c r="EK533" s="938"/>
      <c r="EL533" s="938"/>
      <c r="EM533" s="938"/>
      <c r="EN533" s="938"/>
      <c r="EO533" s="938"/>
      <c r="EP533" s="938"/>
      <c r="EQ533" s="938"/>
      <c r="ER533" s="938"/>
      <c r="ES533" s="938"/>
      <c r="ET533" s="938"/>
      <c r="EU533" s="938"/>
      <c r="EV533" s="938"/>
      <c r="EW533" s="938"/>
      <c r="EX533" s="938"/>
      <c r="EY533" s="938"/>
      <c r="EZ533" s="938"/>
      <c r="FA533" s="938"/>
      <c r="FB533" s="938"/>
      <c r="FC533" s="938"/>
      <c r="FD533" s="938"/>
      <c r="FE533" s="938"/>
      <c r="FF533" s="938"/>
      <c r="FG533" s="938"/>
      <c r="FH533" s="938"/>
      <c r="FI533" s="938"/>
      <c r="FJ533" s="938"/>
      <c r="FK533" s="938"/>
      <c r="FL533" s="938"/>
      <c r="FM533" s="938"/>
      <c r="FN533" s="938"/>
      <c r="FO533" s="938"/>
      <c r="FP533" s="938"/>
      <c r="FQ533" s="938"/>
      <c r="FR533" s="938"/>
      <c r="FS533" s="938"/>
      <c r="FT533" s="938"/>
      <c r="FU533" s="938"/>
      <c r="FV533" s="938"/>
      <c r="FW533" s="938"/>
      <c r="FX533" s="938"/>
      <c r="FY533" s="938"/>
      <c r="FZ533" s="938"/>
      <c r="GA533" s="938"/>
      <c r="GB533" s="938"/>
      <c r="GC533" s="938"/>
      <c r="GD533" s="938"/>
      <c r="GE533" s="938"/>
      <c r="GF533" s="938"/>
      <c r="GG533" s="938"/>
      <c r="GH533" s="938"/>
      <c r="GI533" s="938"/>
      <c r="GJ533" s="938"/>
      <c r="GK533" s="938"/>
      <c r="GL533" s="938"/>
      <c r="GM533" s="938"/>
      <c r="GN533" s="938"/>
      <c r="GO533" s="938"/>
      <c r="GP533" s="938"/>
      <c r="GQ533" s="938"/>
      <c r="GR533" s="938"/>
      <c r="GS533" s="938"/>
      <c r="GT533" s="938"/>
      <c r="GU533" s="938"/>
      <c r="GV533" s="938"/>
      <c r="GW533" s="938"/>
      <c r="GX533" s="938"/>
      <c r="GY533" s="938"/>
      <c r="GZ533" s="938"/>
      <c r="HA533" s="938"/>
      <c r="HB533" s="938"/>
      <c r="HC533" s="938"/>
      <c r="HD533" s="938"/>
      <c r="HE533" s="938"/>
      <c r="HF533" s="938"/>
      <c r="HG533" s="938"/>
      <c r="HH533" s="938"/>
      <c r="HI533" s="938"/>
      <c r="HJ533" s="938"/>
      <c r="HK533" s="938"/>
      <c r="HL533" s="938"/>
      <c r="HM533" s="938"/>
      <c r="HN533" s="938"/>
      <c r="HO533" s="938"/>
      <c r="HP533" s="938"/>
      <c r="HQ533" s="938"/>
      <c r="HR533" s="938"/>
    </row>
    <row r="534" spans="1:226" s="939" customFormat="1" ht="24.95" customHeight="1">
      <c r="A534" s="1507"/>
      <c r="B534" s="1509"/>
      <c r="C534" s="1511"/>
      <c r="D534" s="1513"/>
      <c r="E534" s="957" t="s">
        <v>943</v>
      </c>
      <c r="F534" s="958">
        <f>SUM(F535,F538,F547)</f>
        <v>5754020</v>
      </c>
      <c r="G534" s="958">
        <f>SUM(G535,G538,G547)</f>
        <v>0</v>
      </c>
      <c r="H534" s="958">
        <f>SUM(H535,H538,H547)</f>
        <v>5557280</v>
      </c>
      <c r="I534" s="958">
        <f>SUM(I535,I538,I547)</f>
        <v>196740</v>
      </c>
      <c r="J534" s="942">
        <f>SUM(J535,J538,J547)</f>
        <v>0</v>
      </c>
      <c r="K534" s="938"/>
    </row>
    <row r="535" spans="1:226" s="939" customFormat="1" ht="24.95" customHeight="1">
      <c r="A535" s="1507"/>
      <c r="B535" s="1509"/>
      <c r="C535" s="1511"/>
      <c r="D535" s="1513"/>
      <c r="E535" s="960" t="s">
        <v>964</v>
      </c>
      <c r="F535" s="961">
        <f>SUM(F536:F537)</f>
        <v>5031835</v>
      </c>
      <c r="G535" s="961">
        <f>SUM(G536:G537)</f>
        <v>0</v>
      </c>
      <c r="H535" s="961">
        <f>SUM(H536:H537)</f>
        <v>4943420</v>
      </c>
      <c r="I535" s="961">
        <f>SUM(I536:I537)</f>
        <v>88415</v>
      </c>
      <c r="J535" s="951">
        <f>SUM(J536:J537)</f>
        <v>0</v>
      </c>
      <c r="K535" s="938"/>
    </row>
    <row r="536" spans="1:226" s="939" customFormat="1" ht="15" customHeight="1">
      <c r="A536" s="1507"/>
      <c r="B536" s="1509"/>
      <c r="C536" s="1511"/>
      <c r="D536" s="1513"/>
      <c r="E536" s="963" t="s">
        <v>422</v>
      </c>
      <c r="F536" s="964">
        <f>SUM(G536:J536)</f>
        <v>4943420</v>
      </c>
      <c r="G536" s="964"/>
      <c r="H536" s="964">
        <v>4943420</v>
      </c>
      <c r="I536" s="964"/>
      <c r="J536" s="946"/>
      <c r="K536" s="938"/>
    </row>
    <row r="537" spans="1:226" s="939" customFormat="1" ht="15" customHeight="1">
      <c r="A537" s="1507"/>
      <c r="B537" s="1509"/>
      <c r="C537" s="1511"/>
      <c r="D537" s="1513"/>
      <c r="E537" s="963" t="s">
        <v>348</v>
      </c>
      <c r="F537" s="964">
        <f>SUM(G537:J537)</f>
        <v>88415</v>
      </c>
      <c r="G537" s="964"/>
      <c r="H537" s="964"/>
      <c r="I537" s="964">
        <v>88415</v>
      </c>
      <c r="J537" s="946"/>
      <c r="K537" s="938"/>
    </row>
    <row r="538" spans="1:226" s="939" customFormat="1" ht="24.95" customHeight="1">
      <c r="A538" s="1507"/>
      <c r="B538" s="1509"/>
      <c r="C538" s="1511"/>
      <c r="D538" s="1513"/>
      <c r="E538" s="960" t="s">
        <v>944</v>
      </c>
      <c r="F538" s="961">
        <f>SUM(F539:F546)</f>
        <v>548500</v>
      </c>
      <c r="G538" s="961">
        <f>SUM(G539:G546)</f>
        <v>0</v>
      </c>
      <c r="H538" s="961">
        <f>SUM(H539:H546)</f>
        <v>466226</v>
      </c>
      <c r="I538" s="961">
        <f>SUM(I539:I546)</f>
        <v>82274</v>
      </c>
      <c r="J538" s="951">
        <f>SUM(J539:J546)</f>
        <v>0</v>
      </c>
      <c r="K538" s="938"/>
    </row>
    <row r="539" spans="1:226" s="939" customFormat="1" ht="15" customHeight="1">
      <c r="A539" s="1507"/>
      <c r="B539" s="1509"/>
      <c r="C539" s="1511"/>
      <c r="D539" s="1513"/>
      <c r="E539" s="963" t="s">
        <v>362</v>
      </c>
      <c r="F539" s="964">
        <f t="shared" ref="F539:F546" si="22">SUM(G539:J539)</f>
        <v>338691</v>
      </c>
      <c r="G539" s="964"/>
      <c r="H539" s="964">
        <v>338691</v>
      </c>
      <c r="I539" s="964"/>
      <c r="J539" s="946"/>
      <c r="K539" s="938"/>
    </row>
    <row r="540" spans="1:226" s="939" customFormat="1" ht="15" customHeight="1">
      <c r="A540" s="1507"/>
      <c r="B540" s="1509"/>
      <c r="C540" s="1511"/>
      <c r="D540" s="1513"/>
      <c r="E540" s="963" t="s">
        <v>292</v>
      </c>
      <c r="F540" s="964">
        <f t="shared" si="22"/>
        <v>59769</v>
      </c>
      <c r="G540" s="964"/>
      <c r="H540" s="964"/>
      <c r="I540" s="964">
        <v>59769</v>
      </c>
      <c r="J540" s="946"/>
      <c r="K540" s="938"/>
    </row>
    <row r="541" spans="1:226" s="939" customFormat="1" ht="15" customHeight="1">
      <c r="A541" s="1507"/>
      <c r="B541" s="1509"/>
      <c r="C541" s="1511"/>
      <c r="D541" s="1513"/>
      <c r="E541" s="963" t="s">
        <v>423</v>
      </c>
      <c r="F541" s="964">
        <f t="shared" si="22"/>
        <v>51000</v>
      </c>
      <c r="G541" s="964"/>
      <c r="H541" s="964">
        <v>51000</v>
      </c>
      <c r="I541" s="964"/>
      <c r="J541" s="946"/>
      <c r="K541" s="938"/>
    </row>
    <row r="542" spans="1:226" s="939" customFormat="1" ht="15" customHeight="1">
      <c r="A542" s="1507"/>
      <c r="B542" s="1509"/>
      <c r="C542" s="1511"/>
      <c r="D542" s="1513"/>
      <c r="E542" s="963" t="s">
        <v>294</v>
      </c>
      <c r="F542" s="964">
        <f t="shared" si="22"/>
        <v>9000</v>
      </c>
      <c r="G542" s="964"/>
      <c r="H542" s="964"/>
      <c r="I542" s="964">
        <v>9000</v>
      </c>
      <c r="J542" s="946"/>
      <c r="K542" s="938"/>
    </row>
    <row r="543" spans="1:226" s="939" customFormat="1" ht="15" customHeight="1">
      <c r="A543" s="1507"/>
      <c r="B543" s="1509"/>
      <c r="C543" s="1511"/>
      <c r="D543" s="1513"/>
      <c r="E543" s="963" t="s">
        <v>363</v>
      </c>
      <c r="F543" s="964">
        <f t="shared" si="22"/>
        <v>66988</v>
      </c>
      <c r="G543" s="964"/>
      <c r="H543" s="964">
        <v>66988</v>
      </c>
      <c r="I543" s="964"/>
      <c r="J543" s="946"/>
      <c r="K543" s="938"/>
    </row>
    <row r="544" spans="1:226" s="939" customFormat="1" ht="15" customHeight="1">
      <c r="A544" s="1507"/>
      <c r="B544" s="1509"/>
      <c r="C544" s="1511"/>
      <c r="D544" s="1513"/>
      <c r="E544" s="963" t="s">
        <v>296</v>
      </c>
      <c r="F544" s="964">
        <f t="shared" si="22"/>
        <v>11821</v>
      </c>
      <c r="G544" s="964"/>
      <c r="H544" s="964"/>
      <c r="I544" s="964">
        <v>11821</v>
      </c>
      <c r="J544" s="946"/>
      <c r="K544" s="938"/>
    </row>
    <row r="545" spans="1:11" s="939" customFormat="1" ht="15" customHeight="1">
      <c r="A545" s="1507"/>
      <c r="B545" s="1509"/>
      <c r="C545" s="1511"/>
      <c r="D545" s="1513"/>
      <c r="E545" s="963" t="s">
        <v>364</v>
      </c>
      <c r="F545" s="964">
        <f t="shared" si="22"/>
        <v>9547</v>
      </c>
      <c r="G545" s="964"/>
      <c r="H545" s="964">
        <v>9547</v>
      </c>
      <c r="I545" s="964"/>
      <c r="J545" s="946"/>
      <c r="K545" s="938"/>
    </row>
    <row r="546" spans="1:11" s="939" customFormat="1" ht="15" customHeight="1">
      <c r="A546" s="1507"/>
      <c r="B546" s="1509"/>
      <c r="C546" s="1511"/>
      <c r="D546" s="1513"/>
      <c r="E546" s="963" t="s">
        <v>298</v>
      </c>
      <c r="F546" s="964">
        <f t="shared" si="22"/>
        <v>1684</v>
      </c>
      <c r="G546" s="964"/>
      <c r="H546" s="964"/>
      <c r="I546" s="964">
        <v>1684</v>
      </c>
      <c r="J546" s="946"/>
      <c r="K546" s="938"/>
    </row>
    <row r="547" spans="1:11" s="939" customFormat="1" ht="24.95" customHeight="1">
      <c r="A547" s="1507"/>
      <c r="B547" s="1509"/>
      <c r="C547" s="1511"/>
      <c r="D547" s="1513"/>
      <c r="E547" s="960" t="s">
        <v>945</v>
      </c>
      <c r="F547" s="961">
        <f>SUM(F548:F569)</f>
        <v>173685</v>
      </c>
      <c r="G547" s="961">
        <f>SUM(G548:G569)</f>
        <v>0</v>
      </c>
      <c r="H547" s="961">
        <f>SUM(H548:H569)</f>
        <v>147634</v>
      </c>
      <c r="I547" s="961">
        <f>SUM(I548:I569)</f>
        <v>26051</v>
      </c>
      <c r="J547" s="951">
        <f>SUM(J548:J569)</f>
        <v>0</v>
      </c>
      <c r="K547" s="938"/>
    </row>
    <row r="548" spans="1:11" s="939" customFormat="1" ht="15" customHeight="1">
      <c r="A548" s="1507"/>
      <c r="B548" s="1509"/>
      <c r="C548" s="1511"/>
      <c r="D548" s="1513"/>
      <c r="E548" s="963" t="s">
        <v>365</v>
      </c>
      <c r="F548" s="964">
        <f t="shared" ref="F548:F569" si="23">SUM(G548:J548)</f>
        <v>5100</v>
      </c>
      <c r="G548" s="964"/>
      <c r="H548" s="964">
        <v>5100</v>
      </c>
      <c r="I548" s="964"/>
      <c r="J548" s="946"/>
      <c r="K548" s="938"/>
    </row>
    <row r="549" spans="1:11" s="939" customFormat="1" ht="15" customHeight="1">
      <c r="A549" s="1507"/>
      <c r="B549" s="1509"/>
      <c r="C549" s="1511"/>
      <c r="D549" s="1513"/>
      <c r="E549" s="963" t="s">
        <v>302</v>
      </c>
      <c r="F549" s="964">
        <f t="shared" si="23"/>
        <v>900</v>
      </c>
      <c r="G549" s="964"/>
      <c r="H549" s="964"/>
      <c r="I549" s="964">
        <v>900</v>
      </c>
      <c r="J549" s="946"/>
      <c r="K549" s="938"/>
    </row>
    <row r="550" spans="1:11" s="939" customFormat="1" ht="15" customHeight="1">
      <c r="A550" s="1507"/>
      <c r="B550" s="1509"/>
      <c r="C550" s="1511"/>
      <c r="D550" s="1513"/>
      <c r="E550" s="963" t="s">
        <v>366</v>
      </c>
      <c r="F550" s="964">
        <f t="shared" si="23"/>
        <v>109460</v>
      </c>
      <c r="G550" s="964"/>
      <c r="H550" s="964">
        <v>109460</v>
      </c>
      <c r="I550" s="964"/>
      <c r="J550" s="946"/>
      <c r="K550" s="938"/>
    </row>
    <row r="551" spans="1:11" s="939" customFormat="1" ht="15" customHeight="1">
      <c r="A551" s="1507"/>
      <c r="B551" s="1509"/>
      <c r="C551" s="1511"/>
      <c r="D551" s="1513"/>
      <c r="E551" s="963" t="s">
        <v>304</v>
      </c>
      <c r="F551" s="964">
        <f t="shared" si="23"/>
        <v>19315</v>
      </c>
      <c r="G551" s="964"/>
      <c r="H551" s="964"/>
      <c r="I551" s="964">
        <v>19315</v>
      </c>
      <c r="J551" s="946"/>
      <c r="K551" s="938"/>
    </row>
    <row r="552" spans="1:11" s="939" customFormat="1" ht="15" customHeight="1">
      <c r="A552" s="1507"/>
      <c r="B552" s="1509"/>
      <c r="C552" s="1511"/>
      <c r="D552" s="1513"/>
      <c r="E552" s="963" t="s">
        <v>426</v>
      </c>
      <c r="F552" s="964">
        <f t="shared" si="23"/>
        <v>2040</v>
      </c>
      <c r="G552" s="964"/>
      <c r="H552" s="964">
        <v>2040</v>
      </c>
      <c r="I552" s="964"/>
      <c r="J552" s="946"/>
      <c r="K552" s="938"/>
    </row>
    <row r="553" spans="1:11" s="939" customFormat="1" ht="15" customHeight="1">
      <c r="A553" s="1507"/>
      <c r="B553" s="1509"/>
      <c r="C553" s="1511"/>
      <c r="D553" s="1513"/>
      <c r="E553" s="963" t="s">
        <v>306</v>
      </c>
      <c r="F553" s="964">
        <f t="shared" si="23"/>
        <v>360</v>
      </c>
      <c r="G553" s="964"/>
      <c r="H553" s="964"/>
      <c r="I553" s="964">
        <v>360</v>
      </c>
      <c r="J553" s="946"/>
      <c r="K553" s="938"/>
    </row>
    <row r="554" spans="1:11" s="939" customFormat="1" ht="15" customHeight="1">
      <c r="A554" s="1507"/>
      <c r="B554" s="1509"/>
      <c r="C554" s="1511"/>
      <c r="D554" s="1513"/>
      <c r="E554" s="963" t="s">
        <v>427</v>
      </c>
      <c r="F554" s="964">
        <f t="shared" si="23"/>
        <v>306</v>
      </c>
      <c r="G554" s="964"/>
      <c r="H554" s="964">
        <v>306</v>
      </c>
      <c r="I554" s="964"/>
      <c r="J554" s="946"/>
      <c r="K554" s="938"/>
    </row>
    <row r="555" spans="1:11" s="939" customFormat="1" ht="15" customHeight="1">
      <c r="A555" s="1507"/>
      <c r="B555" s="1509"/>
      <c r="C555" s="1511"/>
      <c r="D555" s="1513"/>
      <c r="E555" s="963" t="s">
        <v>308</v>
      </c>
      <c r="F555" s="964">
        <f t="shared" si="23"/>
        <v>54</v>
      </c>
      <c r="G555" s="964"/>
      <c r="H555" s="964"/>
      <c r="I555" s="964">
        <v>54</v>
      </c>
      <c r="J555" s="946"/>
      <c r="K555" s="938"/>
    </row>
    <row r="556" spans="1:11" s="939" customFormat="1" ht="15" customHeight="1">
      <c r="A556" s="1507"/>
      <c r="B556" s="1509"/>
      <c r="C556" s="1511"/>
      <c r="D556" s="1513"/>
      <c r="E556" s="963" t="s">
        <v>461</v>
      </c>
      <c r="F556" s="964">
        <f t="shared" si="23"/>
        <v>2550</v>
      </c>
      <c r="G556" s="964"/>
      <c r="H556" s="964">
        <v>2550</v>
      </c>
      <c r="I556" s="964"/>
      <c r="J556" s="946"/>
      <c r="K556" s="938"/>
    </row>
    <row r="557" spans="1:11" s="939" customFormat="1" ht="15" customHeight="1">
      <c r="A557" s="1507"/>
      <c r="B557" s="1509"/>
      <c r="C557" s="1511"/>
      <c r="D557" s="1513"/>
      <c r="E557" s="963" t="s">
        <v>447</v>
      </c>
      <c r="F557" s="964">
        <f t="shared" si="23"/>
        <v>450</v>
      </c>
      <c r="G557" s="964"/>
      <c r="H557" s="964"/>
      <c r="I557" s="964">
        <v>450</v>
      </c>
      <c r="J557" s="946"/>
      <c r="K557" s="938"/>
    </row>
    <row r="558" spans="1:11" s="939" customFormat="1" ht="15" hidden="1" customHeight="1">
      <c r="A558" s="1507"/>
      <c r="B558" s="1509"/>
      <c r="C558" s="1511"/>
      <c r="D558" s="1513"/>
      <c r="E558" s="963" t="s">
        <v>535</v>
      </c>
      <c r="F558" s="964">
        <f t="shared" si="23"/>
        <v>0</v>
      </c>
      <c r="G558" s="964"/>
      <c r="H558" s="964"/>
      <c r="I558" s="964"/>
      <c r="J558" s="946"/>
      <c r="K558" s="938"/>
    </row>
    <row r="559" spans="1:11" s="939" customFormat="1" ht="15" hidden="1" customHeight="1">
      <c r="A559" s="1507"/>
      <c r="B559" s="1509"/>
      <c r="C559" s="1511"/>
      <c r="D559" s="1513"/>
      <c r="E559" s="963" t="s">
        <v>449</v>
      </c>
      <c r="F559" s="964">
        <f t="shared" si="23"/>
        <v>0</v>
      </c>
      <c r="G559" s="964"/>
      <c r="H559" s="964"/>
      <c r="I559" s="964"/>
      <c r="J559" s="946"/>
      <c r="K559" s="938"/>
    </row>
    <row r="560" spans="1:11" s="939" customFormat="1" ht="15" customHeight="1">
      <c r="A560" s="1507"/>
      <c r="B560" s="1509"/>
      <c r="C560" s="1511"/>
      <c r="D560" s="1513"/>
      <c r="E560" s="963" t="s">
        <v>462</v>
      </c>
      <c r="F560" s="964">
        <f t="shared" si="23"/>
        <v>18615</v>
      </c>
      <c r="G560" s="964"/>
      <c r="H560" s="964">
        <v>18615</v>
      </c>
      <c r="I560" s="964"/>
      <c r="J560" s="946"/>
      <c r="K560" s="938"/>
    </row>
    <row r="561" spans="1:226" s="939" customFormat="1" ht="15" customHeight="1">
      <c r="A561" s="1507"/>
      <c r="B561" s="1509"/>
      <c r="C561" s="1511"/>
      <c r="D561" s="1513"/>
      <c r="E561" s="963" t="s">
        <v>452</v>
      </c>
      <c r="F561" s="964">
        <f t="shared" si="23"/>
        <v>3285</v>
      </c>
      <c r="G561" s="964"/>
      <c r="H561" s="964"/>
      <c r="I561" s="964">
        <v>3285</v>
      </c>
      <c r="J561" s="946"/>
      <c r="K561" s="938"/>
    </row>
    <row r="562" spans="1:226" s="939" customFormat="1" ht="15" customHeight="1">
      <c r="A562" s="1507"/>
      <c r="B562" s="1509"/>
      <c r="C562" s="1511"/>
      <c r="D562" s="1513"/>
      <c r="E562" s="963" t="s">
        <v>392</v>
      </c>
      <c r="F562" s="964">
        <f t="shared" si="23"/>
        <v>3060</v>
      </c>
      <c r="G562" s="964"/>
      <c r="H562" s="964">
        <v>3060</v>
      </c>
      <c r="I562" s="964"/>
      <c r="J562" s="946"/>
      <c r="K562" s="938"/>
    </row>
    <row r="563" spans="1:226" s="939" customFormat="1" ht="15" customHeight="1">
      <c r="A563" s="1507"/>
      <c r="B563" s="1509"/>
      <c r="C563" s="1511"/>
      <c r="D563" s="1513"/>
      <c r="E563" s="963" t="s">
        <v>310</v>
      </c>
      <c r="F563" s="964">
        <f t="shared" si="23"/>
        <v>540</v>
      </c>
      <c r="G563" s="964"/>
      <c r="H563" s="964"/>
      <c r="I563" s="964">
        <v>540</v>
      </c>
      <c r="J563" s="946"/>
      <c r="K563" s="938"/>
    </row>
    <row r="564" spans="1:226" s="939" customFormat="1" ht="15" customHeight="1">
      <c r="A564" s="1507"/>
      <c r="B564" s="1509"/>
      <c r="C564" s="1511"/>
      <c r="D564" s="1513"/>
      <c r="E564" s="963" t="s">
        <v>428</v>
      </c>
      <c r="F564" s="964">
        <f t="shared" si="23"/>
        <v>6078</v>
      </c>
      <c r="G564" s="964"/>
      <c r="H564" s="964">
        <v>6078</v>
      </c>
      <c r="I564" s="964"/>
      <c r="J564" s="946"/>
      <c r="K564" s="938"/>
    </row>
    <row r="565" spans="1:226" s="939" customFormat="1" ht="15" customHeight="1">
      <c r="A565" s="1507"/>
      <c r="B565" s="1509"/>
      <c r="C565" s="1511"/>
      <c r="D565" s="1513"/>
      <c r="E565" s="963" t="s">
        <v>429</v>
      </c>
      <c r="F565" s="964">
        <f t="shared" si="23"/>
        <v>1072</v>
      </c>
      <c r="G565" s="964"/>
      <c r="H565" s="964"/>
      <c r="I565" s="964">
        <v>1072</v>
      </c>
      <c r="J565" s="946"/>
      <c r="K565" s="938"/>
    </row>
    <row r="566" spans="1:226" s="939" customFormat="1" ht="15" customHeight="1">
      <c r="A566" s="1507"/>
      <c r="B566" s="1509"/>
      <c r="C566" s="1511"/>
      <c r="D566" s="1513"/>
      <c r="E566" s="963" t="s">
        <v>536</v>
      </c>
      <c r="F566" s="964">
        <f t="shared" si="23"/>
        <v>425</v>
      </c>
      <c r="G566" s="964"/>
      <c r="H566" s="964">
        <v>425</v>
      </c>
      <c r="I566" s="964"/>
      <c r="J566" s="946"/>
      <c r="K566" s="938"/>
    </row>
    <row r="567" spans="1:226" s="939" customFormat="1" ht="15" customHeight="1">
      <c r="A567" s="1507"/>
      <c r="B567" s="1509"/>
      <c r="C567" s="1511"/>
      <c r="D567" s="1513"/>
      <c r="E567" s="963" t="s">
        <v>454</v>
      </c>
      <c r="F567" s="964">
        <f t="shared" si="23"/>
        <v>75</v>
      </c>
      <c r="G567" s="964"/>
      <c r="H567" s="964"/>
      <c r="I567" s="964">
        <v>75</v>
      </c>
      <c r="J567" s="946"/>
      <c r="K567" s="938"/>
    </row>
    <row r="568" spans="1:226" s="939" customFormat="1" ht="15" hidden="1" customHeight="1">
      <c r="A568" s="1507"/>
      <c r="B568" s="1509"/>
      <c r="C568" s="1511"/>
      <c r="D568" s="1513"/>
      <c r="E568" s="963"/>
      <c r="F568" s="964">
        <f t="shared" si="23"/>
        <v>0</v>
      </c>
      <c r="G568" s="964"/>
      <c r="H568" s="964"/>
      <c r="I568" s="964"/>
      <c r="J568" s="946"/>
      <c r="K568" s="938"/>
    </row>
    <row r="569" spans="1:226" s="939" customFormat="1" ht="15" hidden="1" customHeight="1">
      <c r="A569" s="1507"/>
      <c r="B569" s="1509"/>
      <c r="C569" s="1511"/>
      <c r="D569" s="1513"/>
      <c r="E569" s="963"/>
      <c r="F569" s="964">
        <f t="shared" si="23"/>
        <v>0</v>
      </c>
      <c r="G569" s="964"/>
      <c r="H569" s="964"/>
      <c r="I569" s="964"/>
      <c r="J569" s="946"/>
      <c r="K569" s="938"/>
    </row>
    <row r="570" spans="1:226" s="939" customFormat="1" ht="24.95" customHeight="1">
      <c r="A570" s="1508"/>
      <c r="B570" s="1510"/>
      <c r="C570" s="1512"/>
      <c r="D570" s="1514"/>
      <c r="E570" s="966" t="s">
        <v>939</v>
      </c>
      <c r="F570" s="958">
        <f>SUM(F571:F572)</f>
        <v>0</v>
      </c>
      <c r="G570" s="958">
        <f>SUM(G571:G572)</f>
        <v>0</v>
      </c>
      <c r="H570" s="958">
        <f>SUM(H571:H572)</f>
        <v>0</v>
      </c>
      <c r="I570" s="958">
        <f>SUM(I571:I572)</f>
        <v>0</v>
      </c>
      <c r="J570" s="942">
        <f>SUM(J571:J572)</f>
        <v>0</v>
      </c>
      <c r="K570" s="938"/>
    </row>
    <row r="571" spans="1:226" s="939" customFormat="1" ht="15" hidden="1" customHeight="1">
      <c r="A571" s="967"/>
      <c r="B571" s="968"/>
      <c r="C571" s="969"/>
      <c r="D571" s="970"/>
      <c r="E571" s="982" t="s">
        <v>394</v>
      </c>
      <c r="F571" s="984">
        <f>SUM(G571:J571)</f>
        <v>0</v>
      </c>
      <c r="G571" s="984"/>
      <c r="H571" s="984"/>
      <c r="I571" s="984"/>
      <c r="J571" s="985"/>
      <c r="K571" s="938"/>
    </row>
    <row r="572" spans="1:226" s="939" customFormat="1" ht="15" hidden="1" customHeight="1">
      <c r="A572" s="971"/>
      <c r="B572" s="972"/>
      <c r="C572" s="973"/>
      <c r="D572" s="974"/>
      <c r="E572" s="975">
        <v>6209</v>
      </c>
      <c r="F572" s="964">
        <f>SUM(G572:J572)</f>
        <v>0</v>
      </c>
      <c r="G572" s="964"/>
      <c r="H572" s="964"/>
      <c r="I572" s="964"/>
      <c r="J572" s="946"/>
      <c r="K572" s="938"/>
    </row>
    <row r="573" spans="1:226" s="939" customFormat="1" ht="21.95" customHeight="1">
      <c r="A573" s="1499" t="s">
        <v>950</v>
      </c>
      <c r="B573" s="1500" t="s">
        <v>1003</v>
      </c>
      <c r="C573" s="1501">
        <v>853</v>
      </c>
      <c r="D573" s="1502" t="s">
        <v>612</v>
      </c>
      <c r="E573" s="954" t="s">
        <v>937</v>
      </c>
      <c r="F573" s="955">
        <f>SUM(F574,F619)</f>
        <v>11900000</v>
      </c>
      <c r="G573" s="955">
        <f>SUM(G574,G619)</f>
        <v>1785000</v>
      </c>
      <c r="H573" s="955">
        <f>SUM(H574,H619)</f>
        <v>0</v>
      </c>
      <c r="I573" s="955">
        <f>SUM(I574,I619)</f>
        <v>10115000</v>
      </c>
      <c r="J573" s="937">
        <f>SUM(J574,J619)</f>
        <v>0</v>
      </c>
      <c r="K573" s="938"/>
    </row>
    <row r="574" spans="1:226" s="939" customFormat="1" ht="21.95" customHeight="1">
      <c r="A574" s="1499"/>
      <c r="B574" s="1500"/>
      <c r="C574" s="1501"/>
      <c r="D574" s="1502"/>
      <c r="E574" s="957" t="s">
        <v>943</v>
      </c>
      <c r="F574" s="958">
        <f>SUM(F575,F580,F591)</f>
        <v>11866000</v>
      </c>
      <c r="G574" s="958">
        <f>SUM(G575,G580,G591)</f>
        <v>1779900</v>
      </c>
      <c r="H574" s="958">
        <f>SUM(H575,H580,H591)</f>
        <v>0</v>
      </c>
      <c r="I574" s="958">
        <f>SUM(I575,I580,I591)</f>
        <v>10086100</v>
      </c>
      <c r="J574" s="942">
        <f>SUM(J575,J580,J591)</f>
        <v>0</v>
      </c>
      <c r="K574" s="938"/>
      <c r="L574" s="938"/>
      <c r="M574" s="938"/>
      <c r="N574" s="938"/>
      <c r="O574" s="938"/>
      <c r="P574" s="938"/>
      <c r="Q574" s="938"/>
      <c r="R574" s="938"/>
      <c r="S574" s="938"/>
      <c r="T574" s="938"/>
      <c r="U574" s="938"/>
      <c r="V574" s="938"/>
      <c r="W574" s="938"/>
      <c r="X574" s="938"/>
      <c r="Y574" s="938"/>
      <c r="Z574" s="938"/>
      <c r="AA574" s="938"/>
      <c r="AB574" s="938"/>
      <c r="AC574" s="938"/>
      <c r="AD574" s="938"/>
      <c r="AE574" s="938"/>
      <c r="AF574" s="938"/>
      <c r="AG574" s="938"/>
      <c r="AH574" s="938"/>
      <c r="AI574" s="938"/>
      <c r="AJ574" s="938"/>
      <c r="AK574" s="938"/>
      <c r="AL574" s="938"/>
      <c r="AM574" s="938"/>
      <c r="AN574" s="938"/>
      <c r="AO574" s="938"/>
      <c r="AP574" s="938"/>
      <c r="AQ574" s="938"/>
      <c r="AR574" s="938"/>
      <c r="AS574" s="938"/>
      <c r="AT574" s="938"/>
      <c r="AU574" s="938"/>
      <c r="AV574" s="938"/>
      <c r="AW574" s="938"/>
      <c r="AX574" s="938"/>
      <c r="AY574" s="938"/>
      <c r="AZ574" s="938"/>
      <c r="BA574" s="938"/>
      <c r="BB574" s="938"/>
      <c r="BC574" s="938"/>
      <c r="BD574" s="938"/>
      <c r="BE574" s="938"/>
      <c r="BF574" s="938"/>
      <c r="BG574" s="938"/>
      <c r="BH574" s="938"/>
      <c r="BI574" s="938"/>
      <c r="BJ574" s="938"/>
      <c r="BK574" s="938"/>
      <c r="BL574" s="938"/>
      <c r="BM574" s="938"/>
      <c r="BN574" s="938"/>
      <c r="BO574" s="938"/>
      <c r="BP574" s="938"/>
      <c r="BQ574" s="938"/>
      <c r="BR574" s="938"/>
      <c r="BS574" s="938"/>
      <c r="BT574" s="938"/>
      <c r="BU574" s="938"/>
      <c r="BV574" s="938"/>
      <c r="BW574" s="938"/>
      <c r="BX574" s="938"/>
      <c r="BY574" s="938"/>
      <c r="BZ574" s="938"/>
      <c r="CA574" s="938"/>
      <c r="CB574" s="938"/>
      <c r="CC574" s="938"/>
      <c r="CD574" s="938"/>
      <c r="CE574" s="938"/>
      <c r="CF574" s="938"/>
      <c r="CG574" s="938"/>
      <c r="CH574" s="938"/>
      <c r="CI574" s="938"/>
      <c r="CJ574" s="938"/>
      <c r="CK574" s="938"/>
      <c r="CL574" s="938"/>
      <c r="CM574" s="938"/>
      <c r="CN574" s="938"/>
      <c r="CO574" s="938"/>
      <c r="CP574" s="938"/>
      <c r="CQ574" s="938"/>
      <c r="CR574" s="938"/>
      <c r="CS574" s="938"/>
      <c r="CT574" s="938"/>
      <c r="CU574" s="938"/>
      <c r="CV574" s="938"/>
      <c r="CW574" s="938"/>
      <c r="CX574" s="938"/>
      <c r="CY574" s="938"/>
      <c r="CZ574" s="938"/>
      <c r="DA574" s="938"/>
      <c r="DB574" s="938"/>
      <c r="DC574" s="938"/>
      <c r="DD574" s="938"/>
      <c r="DE574" s="938"/>
      <c r="DF574" s="938"/>
      <c r="DG574" s="938"/>
      <c r="DH574" s="938"/>
      <c r="DI574" s="938"/>
      <c r="DJ574" s="938"/>
      <c r="DK574" s="938"/>
      <c r="DL574" s="938"/>
      <c r="DM574" s="938"/>
      <c r="DN574" s="938"/>
      <c r="DO574" s="938"/>
      <c r="DP574" s="938"/>
      <c r="DQ574" s="938"/>
      <c r="DR574" s="938"/>
      <c r="DS574" s="938"/>
      <c r="DT574" s="938"/>
      <c r="DU574" s="938"/>
      <c r="DV574" s="938"/>
      <c r="DW574" s="938"/>
      <c r="DX574" s="938"/>
      <c r="DY574" s="938"/>
      <c r="DZ574" s="938"/>
      <c r="EA574" s="938"/>
      <c r="EB574" s="938"/>
      <c r="EC574" s="938"/>
      <c r="ED574" s="938"/>
      <c r="EE574" s="938"/>
      <c r="EF574" s="938"/>
      <c r="EG574" s="938"/>
      <c r="EH574" s="938"/>
      <c r="EI574" s="938"/>
      <c r="EJ574" s="938"/>
      <c r="EK574" s="938"/>
      <c r="EL574" s="938"/>
      <c r="EM574" s="938"/>
      <c r="EN574" s="938"/>
      <c r="EO574" s="938"/>
      <c r="EP574" s="938"/>
      <c r="EQ574" s="938"/>
      <c r="ER574" s="938"/>
      <c r="ES574" s="938"/>
      <c r="ET574" s="938"/>
      <c r="EU574" s="938"/>
      <c r="EV574" s="938"/>
      <c r="EW574" s="938"/>
      <c r="EX574" s="938"/>
      <c r="EY574" s="938"/>
      <c r="EZ574" s="938"/>
      <c r="FA574" s="938"/>
      <c r="FB574" s="938"/>
      <c r="FC574" s="938"/>
      <c r="FD574" s="938"/>
      <c r="FE574" s="938"/>
      <c r="FF574" s="938"/>
      <c r="FG574" s="938"/>
      <c r="FH574" s="938"/>
      <c r="FI574" s="938"/>
      <c r="FJ574" s="938"/>
      <c r="FK574" s="938"/>
      <c r="FL574" s="938"/>
      <c r="FM574" s="938"/>
      <c r="FN574" s="938"/>
      <c r="FO574" s="938"/>
      <c r="FP574" s="938"/>
      <c r="FQ574" s="938"/>
      <c r="FR574" s="938"/>
      <c r="FS574" s="938"/>
      <c r="FT574" s="938"/>
      <c r="FU574" s="938"/>
      <c r="FV574" s="938"/>
      <c r="FW574" s="938"/>
      <c r="FX574" s="938"/>
      <c r="FY574" s="938"/>
      <c r="FZ574" s="938"/>
      <c r="GA574" s="938"/>
      <c r="GB574" s="938"/>
      <c r="GC574" s="938"/>
      <c r="GD574" s="938"/>
      <c r="GE574" s="938"/>
      <c r="GF574" s="938"/>
      <c r="GG574" s="938"/>
      <c r="GH574" s="938"/>
      <c r="GI574" s="938"/>
      <c r="GJ574" s="938"/>
      <c r="GK574" s="938"/>
      <c r="GL574" s="938"/>
      <c r="GM574" s="938"/>
      <c r="GN574" s="938"/>
      <c r="GO574" s="938"/>
      <c r="GP574" s="938"/>
      <c r="GQ574" s="938"/>
      <c r="GR574" s="938"/>
      <c r="GS574" s="938"/>
      <c r="GT574" s="938"/>
      <c r="GU574" s="938"/>
      <c r="GV574" s="938"/>
      <c r="GW574" s="938"/>
      <c r="GX574" s="938"/>
      <c r="GY574" s="938"/>
      <c r="GZ574" s="938"/>
      <c r="HA574" s="938"/>
      <c r="HB574" s="938"/>
      <c r="HC574" s="938"/>
      <c r="HD574" s="938"/>
      <c r="HE574" s="938"/>
      <c r="HF574" s="938"/>
      <c r="HG574" s="938"/>
      <c r="HH574" s="938"/>
      <c r="HI574" s="938"/>
      <c r="HJ574" s="938"/>
      <c r="HK574" s="938"/>
      <c r="HL574" s="938"/>
      <c r="HM574" s="938"/>
      <c r="HN574" s="938"/>
      <c r="HO574" s="938"/>
      <c r="HP574" s="938"/>
      <c r="HQ574" s="938"/>
      <c r="HR574" s="938"/>
    </row>
    <row r="575" spans="1:226" s="939" customFormat="1" ht="21.95" hidden="1" customHeight="1">
      <c r="A575" s="1499"/>
      <c r="B575" s="1500"/>
      <c r="C575" s="1501"/>
      <c r="D575" s="1502"/>
      <c r="E575" s="960" t="s">
        <v>964</v>
      </c>
      <c r="F575" s="961">
        <f>SUM(F576:F579)</f>
        <v>0</v>
      </c>
      <c r="G575" s="961">
        <f>SUM(G576:G579)</f>
        <v>0</v>
      </c>
      <c r="H575" s="961">
        <f>SUM(H576:H579)</f>
        <v>0</v>
      </c>
      <c r="I575" s="961">
        <f>SUM(I576:I579)</f>
        <v>0</v>
      </c>
      <c r="J575" s="951">
        <f>SUM(J576:J579)</f>
        <v>0</v>
      </c>
      <c r="K575" s="938"/>
    </row>
    <row r="576" spans="1:226" s="939" customFormat="1" ht="21.95" hidden="1" customHeight="1">
      <c r="A576" s="1499"/>
      <c r="B576" s="1500"/>
      <c r="C576" s="1501"/>
      <c r="D576" s="1502"/>
      <c r="E576" s="963" t="s">
        <v>614</v>
      </c>
      <c r="F576" s="964">
        <f>SUM(G576:J576)</f>
        <v>0</v>
      </c>
      <c r="G576" s="964"/>
      <c r="H576" s="964"/>
      <c r="I576" s="964"/>
      <c r="J576" s="946"/>
      <c r="K576" s="938"/>
    </row>
    <row r="577" spans="1:11" s="939" customFormat="1" ht="21.95" hidden="1" customHeight="1">
      <c r="A577" s="1499"/>
      <c r="B577" s="1500"/>
      <c r="C577" s="1501"/>
      <c r="D577" s="1502"/>
      <c r="E577" s="963" t="s">
        <v>348</v>
      </c>
      <c r="F577" s="964">
        <f>SUM(G577:J577)</f>
        <v>0</v>
      </c>
      <c r="G577" s="964"/>
      <c r="H577" s="964"/>
      <c r="I577" s="964"/>
      <c r="J577" s="946"/>
      <c r="K577" s="938"/>
    </row>
    <row r="578" spans="1:11" s="939" customFormat="1" ht="21.95" hidden="1" customHeight="1">
      <c r="A578" s="1499"/>
      <c r="B578" s="1500"/>
      <c r="C578" s="1501"/>
      <c r="D578" s="1502"/>
      <c r="E578" s="963" t="s">
        <v>954</v>
      </c>
      <c r="F578" s="964">
        <f>SUM(G578:J578)</f>
        <v>0</v>
      </c>
      <c r="G578" s="964"/>
      <c r="H578" s="964"/>
      <c r="I578" s="964"/>
      <c r="J578" s="946"/>
      <c r="K578" s="938"/>
    </row>
    <row r="579" spans="1:11" s="939" customFormat="1" ht="21.95" hidden="1" customHeight="1">
      <c r="A579" s="1499"/>
      <c r="B579" s="1500"/>
      <c r="C579" s="1501"/>
      <c r="D579" s="1502"/>
      <c r="E579" s="963" t="s">
        <v>977</v>
      </c>
      <c r="F579" s="964">
        <f>SUM(G579:J579)</f>
        <v>0</v>
      </c>
      <c r="G579" s="964"/>
      <c r="H579" s="964"/>
      <c r="I579" s="964"/>
      <c r="J579" s="946"/>
      <c r="K579" s="938"/>
    </row>
    <row r="580" spans="1:11" s="939" customFormat="1" ht="21.95" customHeight="1">
      <c r="A580" s="1499"/>
      <c r="B580" s="1500"/>
      <c r="C580" s="1501"/>
      <c r="D580" s="1502"/>
      <c r="E580" s="960" t="s">
        <v>944</v>
      </c>
      <c r="F580" s="961">
        <f>SUM(F581:F590)</f>
        <v>10367300</v>
      </c>
      <c r="G580" s="961">
        <f>SUM(G581:G590)</f>
        <v>1555095</v>
      </c>
      <c r="H580" s="961">
        <f>SUM(H581:H590)</f>
        <v>0</v>
      </c>
      <c r="I580" s="961">
        <f>SUM(I581:I590)</f>
        <v>8812205</v>
      </c>
      <c r="J580" s="951">
        <f>SUM(J581:J590)</f>
        <v>0</v>
      </c>
      <c r="K580" s="938"/>
    </row>
    <row r="581" spans="1:11" s="939" customFormat="1" ht="14.1" customHeight="1">
      <c r="A581" s="1499"/>
      <c r="B581" s="1500"/>
      <c r="C581" s="1501"/>
      <c r="D581" s="1502"/>
      <c r="E581" s="963" t="s">
        <v>291</v>
      </c>
      <c r="F581" s="964">
        <f t="shared" ref="F581:F590" si="24">SUM(G581:J581)</f>
        <v>6719590</v>
      </c>
      <c r="G581" s="964"/>
      <c r="H581" s="964"/>
      <c r="I581" s="964">
        <v>6719590</v>
      </c>
      <c r="J581" s="946"/>
      <c r="K581" s="938"/>
    </row>
    <row r="582" spans="1:11" s="939" customFormat="1" ht="14.1" customHeight="1">
      <c r="A582" s="1499"/>
      <c r="B582" s="1500"/>
      <c r="C582" s="1501"/>
      <c r="D582" s="1502"/>
      <c r="E582" s="963" t="s">
        <v>292</v>
      </c>
      <c r="F582" s="964">
        <f t="shared" si="24"/>
        <v>1185810</v>
      </c>
      <c r="G582" s="964">
        <v>1185810</v>
      </c>
      <c r="H582" s="964"/>
      <c r="I582" s="964"/>
      <c r="J582" s="946"/>
      <c r="K582" s="938"/>
    </row>
    <row r="583" spans="1:11" s="939" customFormat="1" ht="14.1" customHeight="1">
      <c r="A583" s="1499"/>
      <c r="B583" s="1500"/>
      <c r="C583" s="1501"/>
      <c r="D583" s="1502"/>
      <c r="E583" s="963" t="s">
        <v>293</v>
      </c>
      <c r="F583" s="964">
        <f t="shared" si="24"/>
        <v>617610</v>
      </c>
      <c r="G583" s="964"/>
      <c r="H583" s="964"/>
      <c r="I583" s="964">
        <v>617610</v>
      </c>
      <c r="J583" s="946"/>
      <c r="K583" s="938"/>
    </row>
    <row r="584" spans="1:11" s="939" customFormat="1" ht="14.1" customHeight="1">
      <c r="A584" s="1499"/>
      <c r="B584" s="1500"/>
      <c r="C584" s="1501"/>
      <c r="D584" s="1502"/>
      <c r="E584" s="963" t="s">
        <v>294</v>
      </c>
      <c r="F584" s="964">
        <f t="shared" si="24"/>
        <v>108990</v>
      </c>
      <c r="G584" s="964">
        <v>108990</v>
      </c>
      <c r="H584" s="964"/>
      <c r="I584" s="964"/>
      <c r="J584" s="946"/>
      <c r="K584" s="938"/>
    </row>
    <row r="585" spans="1:11" s="939" customFormat="1" ht="14.1" customHeight="1">
      <c r="A585" s="1499"/>
      <c r="B585" s="1500"/>
      <c r="C585" s="1501"/>
      <c r="D585" s="1502"/>
      <c r="E585" s="963" t="s">
        <v>295</v>
      </c>
      <c r="F585" s="964">
        <f t="shared" si="24"/>
        <v>1261264</v>
      </c>
      <c r="G585" s="964"/>
      <c r="H585" s="964"/>
      <c r="I585" s="964">
        <v>1261264</v>
      </c>
      <c r="J585" s="946"/>
      <c r="K585" s="938"/>
    </row>
    <row r="586" spans="1:11" s="939" customFormat="1" ht="14.1" customHeight="1">
      <c r="A586" s="1499"/>
      <c r="B586" s="1500"/>
      <c r="C586" s="1501"/>
      <c r="D586" s="1502"/>
      <c r="E586" s="963" t="s">
        <v>296</v>
      </c>
      <c r="F586" s="964">
        <f t="shared" si="24"/>
        <v>222576</v>
      </c>
      <c r="G586" s="964">
        <v>222576</v>
      </c>
      <c r="H586" s="964"/>
      <c r="I586" s="964"/>
      <c r="J586" s="946"/>
      <c r="K586" s="938"/>
    </row>
    <row r="587" spans="1:11" s="939" customFormat="1" ht="14.1" customHeight="1">
      <c r="A587" s="1499"/>
      <c r="B587" s="1500"/>
      <c r="C587" s="1501"/>
      <c r="D587" s="1502"/>
      <c r="E587" s="963" t="s">
        <v>297</v>
      </c>
      <c r="F587" s="964">
        <f t="shared" si="24"/>
        <v>179741</v>
      </c>
      <c r="G587" s="964"/>
      <c r="H587" s="964"/>
      <c r="I587" s="964">
        <v>179741</v>
      </c>
      <c r="J587" s="946"/>
      <c r="K587" s="938"/>
    </row>
    <row r="588" spans="1:11" s="939" customFormat="1" ht="14.1" customHeight="1">
      <c r="A588" s="1499"/>
      <c r="B588" s="1500"/>
      <c r="C588" s="1501"/>
      <c r="D588" s="1502"/>
      <c r="E588" s="963" t="s">
        <v>298</v>
      </c>
      <c r="F588" s="964">
        <f t="shared" si="24"/>
        <v>31719</v>
      </c>
      <c r="G588" s="964">
        <v>31719</v>
      </c>
      <c r="H588" s="964"/>
      <c r="I588" s="964"/>
      <c r="J588" s="946"/>
      <c r="K588" s="938"/>
    </row>
    <row r="589" spans="1:11" s="939" customFormat="1" ht="14.1" customHeight="1">
      <c r="A589" s="1499"/>
      <c r="B589" s="1500"/>
      <c r="C589" s="1501"/>
      <c r="D589" s="1502"/>
      <c r="E589" s="963" t="s">
        <v>299</v>
      </c>
      <c r="F589" s="964">
        <f t="shared" si="24"/>
        <v>34000</v>
      </c>
      <c r="G589" s="964"/>
      <c r="H589" s="964"/>
      <c r="I589" s="964">
        <v>34000</v>
      </c>
      <c r="J589" s="946"/>
      <c r="K589" s="938"/>
    </row>
    <row r="590" spans="1:11" s="939" customFormat="1" ht="14.1" customHeight="1">
      <c r="A590" s="1499"/>
      <c r="B590" s="1500"/>
      <c r="C590" s="1501"/>
      <c r="D590" s="1502"/>
      <c r="E590" s="963" t="s">
        <v>300</v>
      </c>
      <c r="F590" s="964">
        <f t="shared" si="24"/>
        <v>6000</v>
      </c>
      <c r="G590" s="964">
        <v>6000</v>
      </c>
      <c r="H590" s="964"/>
      <c r="I590" s="964"/>
      <c r="J590" s="946"/>
      <c r="K590" s="938"/>
    </row>
    <row r="591" spans="1:11" s="939" customFormat="1" ht="21.95" customHeight="1">
      <c r="A591" s="1499"/>
      <c r="B591" s="1500"/>
      <c r="C591" s="1501"/>
      <c r="D591" s="1502"/>
      <c r="E591" s="960" t="s">
        <v>945</v>
      </c>
      <c r="F591" s="961">
        <f>SUM(F592:F618)</f>
        <v>1498700</v>
      </c>
      <c r="G591" s="961">
        <f>SUM(G592:G618)</f>
        <v>224805</v>
      </c>
      <c r="H591" s="961">
        <f>SUM(H592:H618)</f>
        <v>0</v>
      </c>
      <c r="I591" s="961">
        <f>SUM(I592:I618)</f>
        <v>1273895</v>
      </c>
      <c r="J591" s="951">
        <f>SUM(J592:J618)</f>
        <v>0</v>
      </c>
      <c r="K591" s="938"/>
    </row>
    <row r="592" spans="1:11" s="939" customFormat="1" ht="15" customHeight="1">
      <c r="A592" s="1499"/>
      <c r="B592" s="1500"/>
      <c r="C592" s="1501"/>
      <c r="D592" s="1502"/>
      <c r="E592" s="963" t="s">
        <v>301</v>
      </c>
      <c r="F592" s="964">
        <f t="shared" ref="F592:F618" si="25">SUM(G592:J592)</f>
        <v>262701</v>
      </c>
      <c r="G592" s="964"/>
      <c r="H592" s="964"/>
      <c r="I592" s="964">
        <v>262701</v>
      </c>
      <c r="J592" s="946"/>
      <c r="K592" s="938"/>
    </row>
    <row r="593" spans="1:226" s="939" customFormat="1" ht="15" customHeight="1">
      <c r="A593" s="1499"/>
      <c r="B593" s="1500"/>
      <c r="C593" s="1501"/>
      <c r="D593" s="1502"/>
      <c r="E593" s="963" t="s">
        <v>302</v>
      </c>
      <c r="F593" s="964">
        <f t="shared" si="25"/>
        <v>46359</v>
      </c>
      <c r="G593" s="964">
        <v>46359</v>
      </c>
      <c r="H593" s="964"/>
      <c r="I593" s="964"/>
      <c r="J593" s="946"/>
      <c r="K593" s="938"/>
    </row>
    <row r="594" spans="1:226" s="939" customFormat="1" ht="15" customHeight="1">
      <c r="A594" s="1499"/>
      <c r="B594" s="1500"/>
      <c r="C594" s="1501"/>
      <c r="D594" s="1502"/>
      <c r="E594" s="963" t="s">
        <v>445</v>
      </c>
      <c r="F594" s="964">
        <f t="shared" si="25"/>
        <v>120020</v>
      </c>
      <c r="G594" s="964"/>
      <c r="H594" s="964"/>
      <c r="I594" s="964">
        <v>120020</v>
      </c>
      <c r="J594" s="946"/>
      <c r="K594" s="938"/>
    </row>
    <row r="595" spans="1:226" s="939" customFormat="1" ht="15" customHeight="1">
      <c r="A595" s="1499"/>
      <c r="B595" s="1500"/>
      <c r="C595" s="1501"/>
      <c r="D595" s="1502"/>
      <c r="E595" s="963" t="s">
        <v>425</v>
      </c>
      <c r="F595" s="964">
        <f t="shared" si="25"/>
        <v>21180</v>
      </c>
      <c r="G595" s="964">
        <v>21180</v>
      </c>
      <c r="H595" s="964"/>
      <c r="I595" s="964"/>
      <c r="J595" s="946"/>
      <c r="K595" s="938"/>
    </row>
    <row r="596" spans="1:226" s="939" customFormat="1" ht="15" customHeight="1">
      <c r="A596" s="1499"/>
      <c r="B596" s="1500"/>
      <c r="C596" s="1501"/>
      <c r="D596" s="1502"/>
      <c r="E596" s="963" t="s">
        <v>615</v>
      </c>
      <c r="F596" s="964">
        <f t="shared" si="25"/>
        <v>8500</v>
      </c>
      <c r="G596" s="964"/>
      <c r="H596" s="964"/>
      <c r="I596" s="964">
        <v>8500</v>
      </c>
      <c r="J596" s="946"/>
      <c r="K596" s="938"/>
    </row>
    <row r="597" spans="1:226" s="939" customFormat="1" ht="15" customHeight="1">
      <c r="A597" s="1499"/>
      <c r="B597" s="1500"/>
      <c r="C597" s="1501"/>
      <c r="D597" s="1502"/>
      <c r="E597" s="963" t="s">
        <v>616</v>
      </c>
      <c r="F597" s="964">
        <f t="shared" si="25"/>
        <v>1500</v>
      </c>
      <c r="G597" s="964">
        <v>1500</v>
      </c>
      <c r="H597" s="964"/>
      <c r="I597" s="964"/>
      <c r="J597" s="946"/>
      <c r="K597" s="938"/>
    </row>
    <row r="598" spans="1:226" s="939" customFormat="1" ht="15" customHeight="1">
      <c r="A598" s="1499"/>
      <c r="B598" s="1500"/>
      <c r="C598" s="1501"/>
      <c r="D598" s="1502"/>
      <c r="E598" s="963" t="s">
        <v>303</v>
      </c>
      <c r="F598" s="964">
        <f t="shared" si="25"/>
        <v>109599</v>
      </c>
      <c r="G598" s="964"/>
      <c r="H598" s="964"/>
      <c r="I598" s="964">
        <v>109599</v>
      </c>
      <c r="J598" s="946"/>
      <c r="K598" s="938"/>
    </row>
    <row r="599" spans="1:226" s="939" customFormat="1" ht="15" customHeight="1">
      <c r="A599" s="1499"/>
      <c r="B599" s="1500"/>
      <c r="C599" s="1501"/>
      <c r="D599" s="1502"/>
      <c r="E599" s="963" t="s">
        <v>304</v>
      </c>
      <c r="F599" s="964">
        <f t="shared" si="25"/>
        <v>19341</v>
      </c>
      <c r="G599" s="964">
        <v>19341</v>
      </c>
      <c r="H599" s="964"/>
      <c r="I599" s="964"/>
      <c r="J599" s="946"/>
      <c r="K599" s="938"/>
    </row>
    <row r="600" spans="1:226" s="939" customFormat="1" ht="15" customHeight="1">
      <c r="A600" s="1499"/>
      <c r="B600" s="1500"/>
      <c r="C600" s="1501"/>
      <c r="D600" s="1502"/>
      <c r="E600" s="963" t="s">
        <v>305</v>
      </c>
      <c r="F600" s="964">
        <f t="shared" si="25"/>
        <v>23800</v>
      </c>
      <c r="G600" s="964"/>
      <c r="H600" s="964"/>
      <c r="I600" s="964">
        <v>23800</v>
      </c>
      <c r="J600" s="946"/>
      <c r="K600" s="938"/>
    </row>
    <row r="601" spans="1:226" s="939" customFormat="1" ht="15" customHeight="1">
      <c r="A601" s="1499"/>
      <c r="B601" s="1500"/>
      <c r="C601" s="1501"/>
      <c r="D601" s="1502"/>
      <c r="E601" s="963" t="s">
        <v>306</v>
      </c>
      <c r="F601" s="964">
        <f t="shared" si="25"/>
        <v>4200</v>
      </c>
      <c r="G601" s="964">
        <v>4200</v>
      </c>
      <c r="H601" s="964"/>
      <c r="I601" s="964"/>
      <c r="J601" s="946"/>
      <c r="K601" s="938"/>
    </row>
    <row r="602" spans="1:226" s="939" customFormat="1" ht="15" customHeight="1">
      <c r="A602" s="1499"/>
      <c r="B602" s="1500"/>
      <c r="C602" s="1501"/>
      <c r="D602" s="1502"/>
      <c r="E602" s="963" t="s">
        <v>307</v>
      </c>
      <c r="F602" s="964">
        <f t="shared" si="25"/>
        <v>8925</v>
      </c>
      <c r="G602" s="964"/>
      <c r="H602" s="964"/>
      <c r="I602" s="964">
        <v>8925</v>
      </c>
      <c r="J602" s="946"/>
      <c r="K602" s="938"/>
    </row>
    <row r="603" spans="1:226" s="939" customFormat="1" ht="15" customHeight="1">
      <c r="A603" s="1499"/>
      <c r="B603" s="1500"/>
      <c r="C603" s="1501"/>
      <c r="D603" s="1502"/>
      <c r="E603" s="963" t="s">
        <v>308</v>
      </c>
      <c r="F603" s="964">
        <f t="shared" si="25"/>
        <v>1575</v>
      </c>
      <c r="G603" s="964">
        <v>1575</v>
      </c>
      <c r="H603" s="964"/>
      <c r="I603" s="964"/>
      <c r="J603" s="946"/>
      <c r="K603" s="938"/>
    </row>
    <row r="604" spans="1:226" s="939" customFormat="1" ht="15" customHeight="1">
      <c r="A604" s="1499"/>
      <c r="B604" s="1500"/>
      <c r="C604" s="1501"/>
      <c r="D604" s="1502"/>
      <c r="E604" s="963" t="s">
        <v>446</v>
      </c>
      <c r="F604" s="964">
        <f t="shared" si="25"/>
        <v>8500</v>
      </c>
      <c r="G604" s="964"/>
      <c r="H604" s="964"/>
      <c r="I604" s="964">
        <v>8500</v>
      </c>
      <c r="J604" s="946"/>
      <c r="K604" s="938"/>
    </row>
    <row r="605" spans="1:226" s="939" customFormat="1" ht="15" customHeight="1">
      <c r="A605" s="1499"/>
      <c r="B605" s="1500"/>
      <c r="C605" s="1501"/>
      <c r="D605" s="1502"/>
      <c r="E605" s="963" t="s">
        <v>447</v>
      </c>
      <c r="F605" s="964">
        <f t="shared" si="25"/>
        <v>1500</v>
      </c>
      <c r="G605" s="964">
        <v>1500</v>
      </c>
      <c r="H605" s="964"/>
      <c r="I605" s="964"/>
      <c r="J605" s="946"/>
      <c r="K605" s="938"/>
    </row>
    <row r="606" spans="1:226" s="934" customFormat="1" ht="15" customHeight="1">
      <c r="A606" s="1499"/>
      <c r="B606" s="1500"/>
      <c r="C606" s="1501"/>
      <c r="D606" s="1502"/>
      <c r="E606" s="963" t="s">
        <v>450</v>
      </c>
      <c r="F606" s="964">
        <f t="shared" si="25"/>
        <v>102000</v>
      </c>
      <c r="G606" s="964"/>
      <c r="H606" s="964"/>
      <c r="I606" s="964">
        <v>102000</v>
      </c>
      <c r="J606" s="946"/>
    </row>
    <row r="607" spans="1:226" s="930" customFormat="1" ht="15" customHeight="1">
      <c r="A607" s="1499"/>
      <c r="B607" s="1500"/>
      <c r="C607" s="1501"/>
      <c r="D607" s="1502"/>
      <c r="E607" s="963" t="s">
        <v>368</v>
      </c>
      <c r="F607" s="964">
        <f t="shared" si="25"/>
        <v>18000</v>
      </c>
      <c r="G607" s="964">
        <v>18000</v>
      </c>
      <c r="H607" s="964"/>
      <c r="I607" s="964"/>
      <c r="J607" s="946"/>
    </row>
    <row r="608" spans="1:226" s="939" customFormat="1" ht="15" customHeight="1">
      <c r="A608" s="1499"/>
      <c r="B608" s="1500"/>
      <c r="C608" s="1501"/>
      <c r="D608" s="1502"/>
      <c r="E608" s="963" t="s">
        <v>451</v>
      </c>
      <c r="F608" s="964">
        <f t="shared" si="25"/>
        <v>568650</v>
      </c>
      <c r="G608" s="964"/>
      <c r="H608" s="964"/>
      <c r="I608" s="964">
        <v>568650</v>
      </c>
      <c r="J608" s="946"/>
      <c r="K608" s="938"/>
      <c r="L608" s="938"/>
      <c r="M608" s="938"/>
      <c r="N608" s="938"/>
      <c r="O608" s="938"/>
      <c r="P608" s="938"/>
      <c r="Q608" s="938"/>
      <c r="R608" s="938"/>
      <c r="S608" s="938"/>
      <c r="T608" s="938"/>
      <c r="U608" s="938"/>
      <c r="V608" s="938"/>
      <c r="W608" s="938"/>
      <c r="X608" s="938"/>
      <c r="Y608" s="938"/>
      <c r="Z608" s="938"/>
      <c r="AA608" s="938"/>
      <c r="AB608" s="938"/>
      <c r="AC608" s="938"/>
      <c r="AD608" s="938"/>
      <c r="AE608" s="938"/>
      <c r="AF608" s="938"/>
      <c r="AG608" s="938"/>
      <c r="AH608" s="938"/>
      <c r="AI608" s="938"/>
      <c r="AJ608" s="938"/>
      <c r="AK608" s="938"/>
      <c r="AL608" s="938"/>
      <c r="AM608" s="938"/>
      <c r="AN608" s="938"/>
      <c r="AO608" s="938"/>
      <c r="AP608" s="938"/>
      <c r="AQ608" s="938"/>
      <c r="AR608" s="938"/>
      <c r="AS608" s="938"/>
      <c r="AT608" s="938"/>
      <c r="AU608" s="938"/>
      <c r="AV608" s="938"/>
      <c r="AW608" s="938"/>
      <c r="AX608" s="938"/>
      <c r="AY608" s="938"/>
      <c r="AZ608" s="938"/>
      <c r="BA608" s="938"/>
      <c r="BB608" s="938"/>
      <c r="BC608" s="938"/>
      <c r="BD608" s="938"/>
      <c r="BE608" s="938"/>
      <c r="BF608" s="938"/>
      <c r="BG608" s="938"/>
      <c r="BH608" s="938"/>
      <c r="BI608" s="938"/>
      <c r="BJ608" s="938"/>
      <c r="BK608" s="938"/>
      <c r="BL608" s="938"/>
      <c r="BM608" s="938"/>
      <c r="BN608" s="938"/>
      <c r="BO608" s="938"/>
      <c r="BP608" s="938"/>
      <c r="BQ608" s="938"/>
      <c r="BR608" s="938"/>
      <c r="BS608" s="938"/>
      <c r="BT608" s="938"/>
      <c r="BU608" s="938"/>
      <c r="BV608" s="938"/>
      <c r="BW608" s="938"/>
      <c r="BX608" s="938"/>
      <c r="BY608" s="938"/>
      <c r="BZ608" s="938"/>
      <c r="CA608" s="938"/>
      <c r="CB608" s="938"/>
      <c r="CC608" s="938"/>
      <c r="CD608" s="938"/>
      <c r="CE608" s="938"/>
      <c r="CF608" s="938"/>
      <c r="CG608" s="938"/>
      <c r="CH608" s="938"/>
      <c r="CI608" s="938"/>
      <c r="CJ608" s="938"/>
      <c r="CK608" s="938"/>
      <c r="CL608" s="938"/>
      <c r="CM608" s="938"/>
      <c r="CN608" s="938"/>
      <c r="CO608" s="938"/>
      <c r="CP608" s="938"/>
      <c r="CQ608" s="938"/>
      <c r="CR608" s="938"/>
      <c r="CS608" s="938"/>
      <c r="CT608" s="938"/>
      <c r="CU608" s="938"/>
      <c r="CV608" s="938"/>
      <c r="CW608" s="938"/>
      <c r="CX608" s="938"/>
      <c r="CY608" s="938"/>
      <c r="CZ608" s="938"/>
      <c r="DA608" s="938"/>
      <c r="DB608" s="938"/>
      <c r="DC608" s="938"/>
      <c r="DD608" s="938"/>
      <c r="DE608" s="938"/>
      <c r="DF608" s="938"/>
      <c r="DG608" s="938"/>
      <c r="DH608" s="938"/>
      <c r="DI608" s="938"/>
      <c r="DJ608" s="938"/>
      <c r="DK608" s="938"/>
      <c r="DL608" s="938"/>
      <c r="DM608" s="938"/>
      <c r="DN608" s="938"/>
      <c r="DO608" s="938"/>
      <c r="DP608" s="938"/>
      <c r="DQ608" s="938"/>
      <c r="DR608" s="938"/>
      <c r="DS608" s="938"/>
      <c r="DT608" s="938"/>
      <c r="DU608" s="938"/>
      <c r="DV608" s="938"/>
      <c r="DW608" s="938"/>
      <c r="DX608" s="938"/>
      <c r="DY608" s="938"/>
      <c r="DZ608" s="938"/>
      <c r="EA608" s="938"/>
      <c r="EB608" s="938"/>
      <c r="EC608" s="938"/>
      <c r="ED608" s="938"/>
      <c r="EE608" s="938"/>
      <c r="EF608" s="938"/>
      <c r="EG608" s="938"/>
      <c r="EH608" s="938"/>
      <c r="EI608" s="938"/>
      <c r="EJ608" s="938"/>
      <c r="EK608" s="938"/>
      <c r="EL608" s="938"/>
      <c r="EM608" s="938"/>
      <c r="EN608" s="938"/>
      <c r="EO608" s="938"/>
      <c r="EP608" s="938"/>
      <c r="EQ608" s="938"/>
      <c r="ER608" s="938"/>
      <c r="ES608" s="938"/>
      <c r="ET608" s="938"/>
      <c r="EU608" s="938"/>
      <c r="EV608" s="938"/>
      <c r="EW608" s="938"/>
      <c r="EX608" s="938"/>
      <c r="EY608" s="938"/>
      <c r="EZ608" s="938"/>
      <c r="FA608" s="938"/>
      <c r="FB608" s="938"/>
      <c r="FC608" s="938"/>
      <c r="FD608" s="938"/>
      <c r="FE608" s="938"/>
      <c r="FF608" s="938"/>
      <c r="FG608" s="938"/>
      <c r="FH608" s="938"/>
      <c r="FI608" s="938"/>
      <c r="FJ608" s="938"/>
      <c r="FK608" s="938"/>
      <c r="FL608" s="938"/>
      <c r="FM608" s="938"/>
      <c r="FN608" s="938"/>
      <c r="FO608" s="938"/>
      <c r="FP608" s="938"/>
      <c r="FQ608" s="938"/>
      <c r="FR608" s="938"/>
      <c r="FS608" s="938"/>
      <c r="FT608" s="938"/>
      <c r="FU608" s="938"/>
      <c r="FV608" s="938"/>
      <c r="FW608" s="938"/>
      <c r="FX608" s="938"/>
      <c r="FY608" s="938"/>
      <c r="FZ608" s="938"/>
      <c r="GA608" s="938"/>
      <c r="GB608" s="938"/>
      <c r="GC608" s="938"/>
      <c r="GD608" s="938"/>
      <c r="GE608" s="938"/>
      <c r="GF608" s="938"/>
      <c r="GG608" s="938"/>
      <c r="GH608" s="938"/>
      <c r="GI608" s="938"/>
      <c r="GJ608" s="938"/>
      <c r="GK608" s="938"/>
      <c r="GL608" s="938"/>
      <c r="GM608" s="938"/>
      <c r="GN608" s="938"/>
      <c r="GO608" s="938"/>
      <c r="GP608" s="938"/>
      <c r="GQ608" s="938"/>
      <c r="GR608" s="938"/>
      <c r="GS608" s="938"/>
      <c r="GT608" s="938"/>
      <c r="GU608" s="938"/>
      <c r="GV608" s="938"/>
      <c r="GW608" s="938"/>
      <c r="GX608" s="938"/>
      <c r="GY608" s="938"/>
      <c r="GZ608" s="938"/>
      <c r="HA608" s="938"/>
      <c r="HB608" s="938"/>
      <c r="HC608" s="938"/>
      <c r="HD608" s="938"/>
      <c r="HE608" s="938"/>
      <c r="HF608" s="938"/>
      <c r="HG608" s="938"/>
      <c r="HH608" s="938"/>
      <c r="HI608" s="938"/>
      <c r="HJ608" s="938"/>
      <c r="HK608" s="938"/>
      <c r="HL608" s="938"/>
      <c r="HM608" s="938"/>
      <c r="HN608" s="938"/>
      <c r="HO608" s="938"/>
      <c r="HP608" s="938"/>
      <c r="HQ608" s="938"/>
      <c r="HR608" s="938"/>
    </row>
    <row r="609" spans="1:11" s="939" customFormat="1" ht="15" customHeight="1">
      <c r="A609" s="1499"/>
      <c r="B609" s="1500"/>
      <c r="C609" s="1501"/>
      <c r="D609" s="1502"/>
      <c r="E609" s="963" t="s">
        <v>452</v>
      </c>
      <c r="F609" s="964">
        <f t="shared" si="25"/>
        <v>100350</v>
      </c>
      <c r="G609" s="964">
        <v>100350</v>
      </c>
      <c r="H609" s="964"/>
      <c r="I609" s="964"/>
      <c r="J609" s="946"/>
      <c r="K609" s="938"/>
    </row>
    <row r="610" spans="1:11" s="939" customFormat="1" ht="15" customHeight="1">
      <c r="A610" s="1499"/>
      <c r="B610" s="1500"/>
      <c r="C610" s="1501"/>
      <c r="D610" s="1502"/>
      <c r="E610" s="963" t="s">
        <v>309</v>
      </c>
      <c r="F610" s="964">
        <f t="shared" si="25"/>
        <v>44455</v>
      </c>
      <c r="G610" s="964"/>
      <c r="H610" s="964"/>
      <c r="I610" s="964">
        <v>44455</v>
      </c>
      <c r="J610" s="946"/>
      <c r="K610" s="938"/>
    </row>
    <row r="611" spans="1:11" s="939" customFormat="1" ht="15" customHeight="1">
      <c r="A611" s="1499"/>
      <c r="B611" s="1500"/>
      <c r="C611" s="1501"/>
      <c r="D611" s="1502"/>
      <c r="E611" s="963" t="s">
        <v>310</v>
      </c>
      <c r="F611" s="964">
        <f t="shared" si="25"/>
        <v>7845</v>
      </c>
      <c r="G611" s="964">
        <v>7845</v>
      </c>
      <c r="H611" s="964"/>
      <c r="I611" s="964"/>
      <c r="J611" s="946"/>
      <c r="K611" s="938"/>
    </row>
    <row r="612" spans="1:11" s="939" customFormat="1" ht="15" hidden="1" customHeight="1">
      <c r="A612" s="1499"/>
      <c r="B612" s="1500"/>
      <c r="C612" s="1501"/>
      <c r="D612" s="1502"/>
      <c r="E612" s="963" t="s">
        <v>313</v>
      </c>
      <c r="F612" s="964">
        <f t="shared" si="25"/>
        <v>0</v>
      </c>
      <c r="G612" s="964"/>
      <c r="H612" s="964"/>
      <c r="I612" s="964"/>
      <c r="J612" s="946"/>
      <c r="K612" s="938"/>
    </row>
    <row r="613" spans="1:11" s="939" customFormat="1" ht="15" hidden="1" customHeight="1">
      <c r="A613" s="1499"/>
      <c r="B613" s="1500"/>
      <c r="C613" s="1501"/>
      <c r="D613" s="1502"/>
      <c r="E613" s="963" t="s">
        <v>314</v>
      </c>
      <c r="F613" s="964">
        <f t="shared" si="25"/>
        <v>0</v>
      </c>
      <c r="G613" s="964"/>
      <c r="H613" s="964"/>
      <c r="I613" s="964"/>
      <c r="J613" s="946"/>
      <c r="K613" s="938"/>
    </row>
    <row r="614" spans="1:11" s="939" customFormat="1" ht="15" customHeight="1">
      <c r="A614" s="1499"/>
      <c r="B614" s="1500"/>
      <c r="C614" s="1501"/>
      <c r="D614" s="1502"/>
      <c r="E614" s="963" t="s">
        <v>453</v>
      </c>
      <c r="F614" s="964">
        <f t="shared" si="25"/>
        <v>4080</v>
      </c>
      <c r="G614" s="964"/>
      <c r="H614" s="964"/>
      <c r="I614" s="964">
        <v>4080</v>
      </c>
      <c r="J614" s="946"/>
      <c r="K614" s="938"/>
    </row>
    <row r="615" spans="1:11" s="939" customFormat="1" ht="15" customHeight="1">
      <c r="A615" s="1499"/>
      <c r="B615" s="1500"/>
      <c r="C615" s="1501"/>
      <c r="D615" s="1502"/>
      <c r="E615" s="963" t="s">
        <v>454</v>
      </c>
      <c r="F615" s="964">
        <f t="shared" si="25"/>
        <v>720</v>
      </c>
      <c r="G615" s="964">
        <v>720</v>
      </c>
      <c r="H615" s="964"/>
      <c r="I615" s="964"/>
      <c r="J615" s="946"/>
      <c r="K615" s="938"/>
    </row>
    <row r="616" spans="1:11" s="939" customFormat="1" ht="15" customHeight="1">
      <c r="A616" s="1499"/>
      <c r="B616" s="1500"/>
      <c r="C616" s="1501"/>
      <c r="D616" s="1502"/>
      <c r="E616" s="963" t="s">
        <v>317</v>
      </c>
      <c r="F616" s="964">
        <f t="shared" si="25"/>
        <v>12665</v>
      </c>
      <c r="G616" s="964"/>
      <c r="H616" s="964"/>
      <c r="I616" s="964">
        <v>12665</v>
      </c>
      <c r="J616" s="946"/>
      <c r="K616" s="938"/>
    </row>
    <row r="617" spans="1:11" s="939" customFormat="1" ht="15" customHeight="1">
      <c r="A617" s="1499"/>
      <c r="B617" s="1500"/>
      <c r="C617" s="1501"/>
      <c r="D617" s="1502"/>
      <c r="E617" s="963" t="s">
        <v>318</v>
      </c>
      <c r="F617" s="964">
        <f t="shared" si="25"/>
        <v>2235</v>
      </c>
      <c r="G617" s="964">
        <v>2235</v>
      </c>
      <c r="H617" s="964"/>
      <c r="I617" s="964"/>
      <c r="J617" s="946"/>
      <c r="K617" s="938"/>
    </row>
    <row r="618" spans="1:11" s="939" customFormat="1" ht="15" hidden="1" customHeight="1">
      <c r="A618" s="1499"/>
      <c r="B618" s="1500"/>
      <c r="C618" s="1501"/>
      <c r="D618" s="1502"/>
      <c r="E618" s="963" t="s">
        <v>1004</v>
      </c>
      <c r="F618" s="964">
        <f t="shared" si="25"/>
        <v>0</v>
      </c>
      <c r="G618" s="964"/>
      <c r="H618" s="964"/>
      <c r="I618" s="964"/>
      <c r="J618" s="946"/>
      <c r="K618" s="938"/>
    </row>
    <row r="619" spans="1:11" s="939" customFormat="1" ht="20.100000000000001" customHeight="1">
      <c r="A619" s="1499"/>
      <c r="B619" s="1500"/>
      <c r="C619" s="1501"/>
      <c r="D619" s="1502"/>
      <c r="E619" s="966" t="s">
        <v>939</v>
      </c>
      <c r="F619" s="958">
        <f>SUM(F620:F621)</f>
        <v>34000</v>
      </c>
      <c r="G619" s="958">
        <f>SUM(G620:G621)</f>
        <v>5100</v>
      </c>
      <c r="H619" s="958">
        <f>SUM(H620:H621)</f>
        <v>0</v>
      </c>
      <c r="I619" s="958">
        <f>SUM(I620:I621)</f>
        <v>28900</v>
      </c>
      <c r="J619" s="942">
        <f>SUM(J620:J621)</f>
        <v>0</v>
      </c>
      <c r="K619" s="938"/>
    </row>
    <row r="620" spans="1:11" s="939" customFormat="1" ht="14.1" customHeight="1">
      <c r="A620" s="1499"/>
      <c r="B620" s="1500"/>
      <c r="C620" s="1501"/>
      <c r="D620" s="1502"/>
      <c r="E620" s="963" t="s">
        <v>319</v>
      </c>
      <c r="F620" s="964">
        <f>SUM(G620:J620)</f>
        <v>28900</v>
      </c>
      <c r="G620" s="964"/>
      <c r="H620" s="964"/>
      <c r="I620" s="964">
        <v>28900</v>
      </c>
      <c r="J620" s="946"/>
      <c r="K620" s="938"/>
    </row>
    <row r="621" spans="1:11" s="939" customFormat="1" ht="14.1" customHeight="1" thickBot="1">
      <c r="A621" s="1503"/>
      <c r="B621" s="1504"/>
      <c r="C621" s="1505"/>
      <c r="D621" s="1506"/>
      <c r="E621" s="977">
        <v>6069</v>
      </c>
      <c r="F621" s="978">
        <f>SUM(G621:J621)</f>
        <v>5100</v>
      </c>
      <c r="G621" s="978">
        <v>5100</v>
      </c>
      <c r="H621" s="978"/>
      <c r="I621" s="978"/>
      <c r="J621" s="979"/>
      <c r="K621" s="938"/>
    </row>
    <row r="622" spans="1:11" s="939" customFormat="1" ht="24.95" customHeight="1" thickBot="1">
      <c r="A622" s="931" t="s">
        <v>1005</v>
      </c>
      <c r="B622" s="1515" t="s">
        <v>1006</v>
      </c>
      <c r="C622" s="1515"/>
      <c r="D622" s="1515"/>
      <c r="E622" s="1515"/>
      <c r="F622" s="980">
        <f>F707+F662+F624</f>
        <v>4519122</v>
      </c>
      <c r="G622" s="980">
        <f>G707+G662+G624</f>
        <v>85655</v>
      </c>
      <c r="H622" s="980">
        <f>H707+H662+H624</f>
        <v>4349747</v>
      </c>
      <c r="I622" s="980">
        <f>I707+I662+I624</f>
        <v>83720</v>
      </c>
      <c r="J622" s="981">
        <f>J707+J662+J624</f>
        <v>0</v>
      </c>
      <c r="K622" s="938"/>
    </row>
    <row r="623" spans="1:11" s="939" customFormat="1">
      <c r="A623" s="1516"/>
      <c r="B623" s="1517"/>
      <c r="C623" s="1517"/>
      <c r="D623" s="1517"/>
      <c r="E623" s="1517"/>
      <c r="F623" s="1517"/>
      <c r="G623" s="1517"/>
      <c r="H623" s="1517"/>
      <c r="I623" s="1517"/>
      <c r="J623" s="1518"/>
      <c r="K623" s="938"/>
    </row>
    <row r="624" spans="1:11" ht="24.95" customHeight="1">
      <c r="A624" s="1499" t="s">
        <v>935</v>
      </c>
      <c r="B624" s="1500" t="s">
        <v>1007</v>
      </c>
      <c r="C624" s="1501">
        <v>852</v>
      </c>
      <c r="D624" s="1502" t="s">
        <v>589</v>
      </c>
      <c r="E624" s="954" t="s">
        <v>937</v>
      </c>
      <c r="F624" s="955">
        <f>SUM(F625,F660)</f>
        <v>3960997</v>
      </c>
      <c r="G624" s="955">
        <f>SUM(G625,G660)</f>
        <v>85655</v>
      </c>
      <c r="H624" s="955">
        <f>SUM(H625,H660)</f>
        <v>3875342</v>
      </c>
      <c r="I624" s="955">
        <f>SUM(I625,I660)</f>
        <v>0</v>
      </c>
      <c r="J624" s="937">
        <f>SUM(J625,J660)</f>
        <v>0</v>
      </c>
    </row>
    <row r="625" spans="1:10" ht="24.95" customHeight="1">
      <c r="A625" s="1499"/>
      <c r="B625" s="1500"/>
      <c r="C625" s="1501"/>
      <c r="D625" s="1502"/>
      <c r="E625" s="957" t="s">
        <v>943</v>
      </c>
      <c r="F625" s="958">
        <f>SUM(F626,F628,F639)</f>
        <v>854596</v>
      </c>
      <c r="G625" s="958">
        <f>SUM(G626,G628,G639)</f>
        <v>85655</v>
      </c>
      <c r="H625" s="958">
        <f>SUM(H626,H628,H639)</f>
        <v>768941</v>
      </c>
      <c r="I625" s="958">
        <f>SUM(I626,I628,I639)</f>
        <v>0</v>
      </c>
      <c r="J625" s="942">
        <f>SUM(J626,J628,J639)</f>
        <v>0</v>
      </c>
    </row>
    <row r="626" spans="1:10" ht="24.95" customHeight="1">
      <c r="A626" s="1499"/>
      <c r="B626" s="1500"/>
      <c r="C626" s="1501"/>
      <c r="D626" s="1502"/>
      <c r="E626" s="960" t="s">
        <v>964</v>
      </c>
      <c r="F626" s="961">
        <f>SUM(F627:F627)</f>
        <v>283570</v>
      </c>
      <c r="G626" s="961">
        <f>SUM(G627:G627)</f>
        <v>0</v>
      </c>
      <c r="H626" s="961">
        <f>SUM(H627:H627)</f>
        <v>283570</v>
      </c>
      <c r="I626" s="961">
        <f>SUM(I627:I627)</f>
        <v>0</v>
      </c>
      <c r="J626" s="951">
        <f>SUM(J627:J627)</f>
        <v>0</v>
      </c>
    </row>
    <row r="627" spans="1:10" ht="15" customHeight="1">
      <c r="A627" s="1499"/>
      <c r="B627" s="1500"/>
      <c r="C627" s="1501"/>
      <c r="D627" s="1502"/>
      <c r="E627" s="963" t="s">
        <v>422</v>
      </c>
      <c r="F627" s="964">
        <f>SUM(G627:J627)</f>
        <v>283570</v>
      </c>
      <c r="G627" s="964"/>
      <c r="H627" s="964">
        <v>283570</v>
      </c>
      <c r="I627" s="964"/>
      <c r="J627" s="946"/>
    </row>
    <row r="628" spans="1:10" ht="24.95" customHeight="1">
      <c r="A628" s="1499"/>
      <c r="B628" s="1500"/>
      <c r="C628" s="1501"/>
      <c r="D628" s="1502"/>
      <c r="E628" s="960" t="s">
        <v>944</v>
      </c>
      <c r="F628" s="961">
        <f>SUM(F629:F638)</f>
        <v>419776</v>
      </c>
      <c r="G628" s="961">
        <f>SUM(G629:G638)</f>
        <v>62967</v>
      </c>
      <c r="H628" s="961">
        <f>SUM(H629:H638)</f>
        <v>356809</v>
      </c>
      <c r="I628" s="961">
        <f>SUM(I629:I638)</f>
        <v>0</v>
      </c>
      <c r="J628" s="951">
        <f>SUM(J629:J638)</f>
        <v>0</v>
      </c>
    </row>
    <row r="629" spans="1:10" ht="15" customHeight="1">
      <c r="A629" s="1499"/>
      <c r="B629" s="1500"/>
      <c r="C629" s="1501"/>
      <c r="D629" s="1502"/>
      <c r="E629" s="963" t="s">
        <v>590</v>
      </c>
      <c r="F629" s="964">
        <f t="shared" ref="F629:F638" si="26">SUM(G629:J629)</f>
        <v>48328</v>
      </c>
      <c r="G629" s="964">
        <v>48328</v>
      </c>
      <c r="H629" s="964"/>
      <c r="I629" s="964"/>
      <c r="J629" s="946"/>
    </row>
    <row r="630" spans="1:10" ht="15" customHeight="1">
      <c r="A630" s="1499"/>
      <c r="B630" s="1500"/>
      <c r="C630" s="1501"/>
      <c r="D630" s="1502"/>
      <c r="E630" s="963" t="s">
        <v>362</v>
      </c>
      <c r="F630" s="964">
        <f t="shared" si="26"/>
        <v>273856</v>
      </c>
      <c r="G630" s="964"/>
      <c r="H630" s="964">
        <v>273856</v>
      </c>
      <c r="I630" s="964"/>
      <c r="J630" s="946"/>
    </row>
    <row r="631" spans="1:10" ht="15" customHeight="1">
      <c r="A631" s="1499"/>
      <c r="B631" s="1500"/>
      <c r="C631" s="1501"/>
      <c r="D631" s="1502"/>
      <c r="E631" s="963" t="s">
        <v>591</v>
      </c>
      <c r="F631" s="964">
        <f t="shared" si="26"/>
        <v>3926</v>
      </c>
      <c r="G631" s="964">
        <v>3926</v>
      </c>
      <c r="H631" s="964"/>
      <c r="I631" s="964"/>
      <c r="J631" s="946"/>
    </row>
    <row r="632" spans="1:10" ht="15" customHeight="1">
      <c r="A632" s="1499"/>
      <c r="B632" s="1500"/>
      <c r="C632" s="1501"/>
      <c r="D632" s="1502"/>
      <c r="E632" s="963" t="s">
        <v>423</v>
      </c>
      <c r="F632" s="964">
        <f t="shared" si="26"/>
        <v>22248</v>
      </c>
      <c r="G632" s="964"/>
      <c r="H632" s="964">
        <v>22248</v>
      </c>
      <c r="I632" s="964"/>
      <c r="J632" s="946"/>
    </row>
    <row r="633" spans="1:10" ht="15" customHeight="1">
      <c r="A633" s="1499"/>
      <c r="B633" s="1500"/>
      <c r="C633" s="1501"/>
      <c r="D633" s="1502"/>
      <c r="E633" s="963" t="s">
        <v>592</v>
      </c>
      <c r="F633" s="964">
        <f t="shared" si="26"/>
        <v>9048</v>
      </c>
      <c r="G633" s="964">
        <v>9048</v>
      </c>
      <c r="H633" s="964"/>
      <c r="I633" s="964"/>
      <c r="J633" s="946"/>
    </row>
    <row r="634" spans="1:10" ht="15" customHeight="1">
      <c r="A634" s="1499"/>
      <c r="B634" s="1500"/>
      <c r="C634" s="1501"/>
      <c r="D634" s="1502"/>
      <c r="E634" s="963" t="s">
        <v>363</v>
      </c>
      <c r="F634" s="964">
        <f t="shared" si="26"/>
        <v>51271</v>
      </c>
      <c r="G634" s="964"/>
      <c r="H634" s="964">
        <v>51271</v>
      </c>
      <c r="I634" s="964"/>
      <c r="J634" s="946"/>
    </row>
    <row r="635" spans="1:10" ht="15" customHeight="1">
      <c r="A635" s="1499"/>
      <c r="B635" s="1500"/>
      <c r="C635" s="1501"/>
      <c r="D635" s="1502"/>
      <c r="E635" s="963" t="s">
        <v>593</v>
      </c>
      <c r="F635" s="964">
        <f t="shared" si="26"/>
        <v>1290</v>
      </c>
      <c r="G635" s="964">
        <v>1290</v>
      </c>
      <c r="H635" s="964"/>
      <c r="I635" s="964"/>
      <c r="J635" s="946"/>
    </row>
    <row r="636" spans="1:10" ht="15" customHeight="1">
      <c r="A636" s="1499"/>
      <c r="B636" s="1500"/>
      <c r="C636" s="1501"/>
      <c r="D636" s="1502"/>
      <c r="E636" s="963" t="s">
        <v>364</v>
      </c>
      <c r="F636" s="964">
        <f t="shared" si="26"/>
        <v>7309</v>
      </c>
      <c r="G636" s="964"/>
      <c r="H636" s="964">
        <v>7309</v>
      </c>
      <c r="I636" s="964"/>
      <c r="J636" s="946"/>
    </row>
    <row r="637" spans="1:10" ht="15" customHeight="1">
      <c r="A637" s="1499"/>
      <c r="B637" s="1500"/>
      <c r="C637" s="1501"/>
      <c r="D637" s="1502"/>
      <c r="E637" s="963" t="s">
        <v>594</v>
      </c>
      <c r="F637" s="964">
        <f t="shared" si="26"/>
        <v>375</v>
      </c>
      <c r="G637" s="964">
        <v>375</v>
      </c>
      <c r="H637" s="964"/>
      <c r="I637" s="964"/>
      <c r="J637" s="946"/>
    </row>
    <row r="638" spans="1:10" ht="15" customHeight="1">
      <c r="A638" s="1499"/>
      <c r="B638" s="1500"/>
      <c r="C638" s="1501"/>
      <c r="D638" s="1502"/>
      <c r="E638" s="963" t="s">
        <v>460</v>
      </c>
      <c r="F638" s="964">
        <f t="shared" si="26"/>
        <v>2125</v>
      </c>
      <c r="G638" s="964"/>
      <c r="H638" s="964">
        <v>2125</v>
      </c>
      <c r="I638" s="964"/>
      <c r="J638" s="946"/>
    </row>
    <row r="639" spans="1:10" ht="24.95" customHeight="1">
      <c r="A639" s="1499"/>
      <c r="B639" s="1500"/>
      <c r="C639" s="1501"/>
      <c r="D639" s="1502"/>
      <c r="E639" s="960" t="s">
        <v>945</v>
      </c>
      <c r="F639" s="961">
        <f>SUM(F640:F659)</f>
        <v>151250</v>
      </c>
      <c r="G639" s="961">
        <f>SUM(G640:G659)</f>
        <v>22688</v>
      </c>
      <c r="H639" s="961">
        <f>SUM(H640:H659)</f>
        <v>128562</v>
      </c>
      <c r="I639" s="961">
        <f>SUM(I640:I659)</f>
        <v>0</v>
      </c>
      <c r="J639" s="951">
        <f>SUM(J640:J659)</f>
        <v>0</v>
      </c>
    </row>
    <row r="640" spans="1:10" ht="15" customHeight="1">
      <c r="A640" s="1499"/>
      <c r="B640" s="1500"/>
      <c r="C640" s="1501"/>
      <c r="D640" s="1502"/>
      <c r="E640" s="963" t="s">
        <v>595</v>
      </c>
      <c r="F640" s="964">
        <f t="shared" ref="F640:F659" si="27">SUM(G640:J640)</f>
        <v>1950</v>
      </c>
      <c r="G640" s="964">
        <v>1950</v>
      </c>
      <c r="H640" s="964"/>
      <c r="I640" s="964"/>
      <c r="J640" s="946"/>
    </row>
    <row r="641" spans="1:10" ht="15" customHeight="1">
      <c r="A641" s="1499"/>
      <c r="B641" s="1500"/>
      <c r="C641" s="1501"/>
      <c r="D641" s="1502"/>
      <c r="E641" s="963" t="s">
        <v>365</v>
      </c>
      <c r="F641" s="964">
        <f t="shared" si="27"/>
        <v>11050</v>
      </c>
      <c r="G641" s="964"/>
      <c r="H641" s="964">
        <v>11050</v>
      </c>
      <c r="I641" s="964"/>
      <c r="J641" s="946"/>
    </row>
    <row r="642" spans="1:10" ht="15" customHeight="1">
      <c r="A642" s="1499"/>
      <c r="B642" s="1500"/>
      <c r="C642" s="1501"/>
      <c r="D642" s="1502"/>
      <c r="E642" s="963" t="s">
        <v>596</v>
      </c>
      <c r="F642" s="964">
        <f t="shared" si="27"/>
        <v>951</v>
      </c>
      <c r="G642" s="964">
        <v>951</v>
      </c>
      <c r="H642" s="964"/>
      <c r="I642" s="964"/>
      <c r="J642" s="946"/>
    </row>
    <row r="643" spans="1:10" ht="15" customHeight="1">
      <c r="A643" s="1499"/>
      <c r="B643" s="1500"/>
      <c r="C643" s="1501"/>
      <c r="D643" s="1502"/>
      <c r="E643" s="963" t="s">
        <v>424</v>
      </c>
      <c r="F643" s="964">
        <f t="shared" si="27"/>
        <v>5389</v>
      </c>
      <c r="G643" s="964"/>
      <c r="H643" s="964">
        <v>5389</v>
      </c>
      <c r="I643" s="964"/>
      <c r="J643" s="946"/>
    </row>
    <row r="644" spans="1:10" ht="15" customHeight="1">
      <c r="A644" s="1499"/>
      <c r="B644" s="1500"/>
      <c r="C644" s="1501"/>
      <c r="D644" s="1502"/>
      <c r="E644" s="963" t="s">
        <v>597</v>
      </c>
      <c r="F644" s="964">
        <f t="shared" si="27"/>
        <v>14960</v>
      </c>
      <c r="G644" s="964">
        <v>14960</v>
      </c>
      <c r="H644" s="964"/>
      <c r="I644" s="964"/>
      <c r="J644" s="946"/>
    </row>
    <row r="645" spans="1:10" ht="15" customHeight="1">
      <c r="A645" s="1499"/>
      <c r="B645" s="1500"/>
      <c r="C645" s="1501"/>
      <c r="D645" s="1502"/>
      <c r="E645" s="963" t="s">
        <v>366</v>
      </c>
      <c r="F645" s="964">
        <f t="shared" si="27"/>
        <v>84778</v>
      </c>
      <c r="G645" s="964"/>
      <c r="H645" s="964">
        <v>84778</v>
      </c>
      <c r="I645" s="964"/>
      <c r="J645" s="946"/>
    </row>
    <row r="646" spans="1:10" ht="15" customHeight="1">
      <c r="A646" s="1499"/>
      <c r="B646" s="1500"/>
      <c r="C646" s="1501"/>
      <c r="D646" s="1502"/>
      <c r="E646" s="963" t="s">
        <v>598</v>
      </c>
      <c r="F646" s="964">
        <f t="shared" si="27"/>
        <v>95</v>
      </c>
      <c r="G646" s="964">
        <v>95</v>
      </c>
      <c r="H646" s="964"/>
      <c r="I646" s="964"/>
      <c r="J646" s="946"/>
    </row>
    <row r="647" spans="1:10" ht="15" customHeight="1">
      <c r="A647" s="1499"/>
      <c r="B647" s="1500"/>
      <c r="C647" s="1501"/>
      <c r="D647" s="1502"/>
      <c r="E647" s="963" t="s">
        <v>426</v>
      </c>
      <c r="F647" s="964">
        <f t="shared" si="27"/>
        <v>535</v>
      </c>
      <c r="G647" s="964"/>
      <c r="H647" s="964">
        <v>535</v>
      </c>
      <c r="I647" s="964"/>
      <c r="J647" s="946"/>
    </row>
    <row r="648" spans="1:10" ht="15" customHeight="1">
      <c r="A648" s="1499"/>
      <c r="B648" s="1500"/>
      <c r="C648" s="1501"/>
      <c r="D648" s="1502"/>
      <c r="E648" s="963" t="s">
        <v>599</v>
      </c>
      <c r="F648" s="964">
        <f t="shared" si="27"/>
        <v>616</v>
      </c>
      <c r="G648" s="964">
        <v>616</v>
      </c>
      <c r="H648" s="964"/>
      <c r="I648" s="964"/>
      <c r="J648" s="946"/>
    </row>
    <row r="649" spans="1:10" ht="15" customHeight="1">
      <c r="A649" s="1499"/>
      <c r="B649" s="1500"/>
      <c r="C649" s="1501"/>
      <c r="D649" s="1502"/>
      <c r="E649" s="963" t="s">
        <v>461</v>
      </c>
      <c r="F649" s="964">
        <f t="shared" si="27"/>
        <v>3489</v>
      </c>
      <c r="G649" s="964"/>
      <c r="H649" s="964">
        <v>3489</v>
      </c>
      <c r="I649" s="964"/>
      <c r="J649" s="946"/>
    </row>
    <row r="650" spans="1:10" ht="15" customHeight="1">
      <c r="A650" s="1499"/>
      <c r="B650" s="1500"/>
      <c r="C650" s="1501"/>
      <c r="D650" s="1502"/>
      <c r="E650" s="963" t="s">
        <v>600</v>
      </c>
      <c r="F650" s="964">
        <f t="shared" si="27"/>
        <v>303</v>
      </c>
      <c r="G650" s="964">
        <v>303</v>
      </c>
      <c r="H650" s="964"/>
      <c r="I650" s="964"/>
      <c r="J650" s="946"/>
    </row>
    <row r="651" spans="1:10" ht="15" customHeight="1">
      <c r="A651" s="1499"/>
      <c r="B651" s="1500"/>
      <c r="C651" s="1501"/>
      <c r="D651" s="1502"/>
      <c r="E651" s="963" t="s">
        <v>535</v>
      </c>
      <c r="F651" s="964">
        <f t="shared" si="27"/>
        <v>1714</v>
      </c>
      <c r="G651" s="964"/>
      <c r="H651" s="964">
        <v>1714</v>
      </c>
      <c r="I651" s="964"/>
      <c r="J651" s="946"/>
    </row>
    <row r="652" spans="1:10" ht="15" customHeight="1">
      <c r="A652" s="1499"/>
      <c r="B652" s="1500"/>
      <c r="C652" s="1501"/>
      <c r="D652" s="1502"/>
      <c r="E652" s="963" t="s">
        <v>601</v>
      </c>
      <c r="F652" s="964">
        <f t="shared" si="27"/>
        <v>3405</v>
      </c>
      <c r="G652" s="964">
        <v>3405</v>
      </c>
      <c r="H652" s="964"/>
      <c r="I652" s="964"/>
      <c r="J652" s="946"/>
    </row>
    <row r="653" spans="1:10" ht="15" customHeight="1">
      <c r="A653" s="1499"/>
      <c r="B653" s="1500"/>
      <c r="C653" s="1501"/>
      <c r="D653" s="1502"/>
      <c r="E653" s="963" t="s">
        <v>462</v>
      </c>
      <c r="F653" s="964">
        <f t="shared" si="27"/>
        <v>19295</v>
      </c>
      <c r="G653" s="964"/>
      <c r="H653" s="964">
        <v>19295</v>
      </c>
      <c r="I653" s="964"/>
      <c r="J653" s="946"/>
    </row>
    <row r="654" spans="1:10" ht="15" customHeight="1">
      <c r="A654" s="1499"/>
      <c r="B654" s="1500"/>
      <c r="C654" s="1501"/>
      <c r="D654" s="1502"/>
      <c r="E654" s="963" t="s">
        <v>602</v>
      </c>
      <c r="F654" s="964">
        <f t="shared" si="27"/>
        <v>300</v>
      </c>
      <c r="G654" s="964">
        <v>300</v>
      </c>
      <c r="H654" s="964"/>
      <c r="I654" s="964"/>
      <c r="J654" s="946"/>
    </row>
    <row r="655" spans="1:10" ht="15" customHeight="1">
      <c r="A655" s="1499"/>
      <c r="B655" s="1500"/>
      <c r="C655" s="1501"/>
      <c r="D655" s="1502"/>
      <c r="E655" s="963" t="s">
        <v>392</v>
      </c>
      <c r="F655" s="964">
        <f t="shared" si="27"/>
        <v>1700</v>
      </c>
      <c r="G655" s="964"/>
      <c r="H655" s="964">
        <v>1700</v>
      </c>
      <c r="I655" s="964"/>
      <c r="J655" s="946"/>
    </row>
    <row r="656" spans="1:10" ht="15" hidden="1" customHeight="1">
      <c r="A656" s="1499"/>
      <c r="B656" s="1500"/>
      <c r="C656" s="1501"/>
      <c r="D656" s="1502"/>
      <c r="E656" s="963" t="s">
        <v>603</v>
      </c>
      <c r="F656" s="964">
        <f t="shared" si="27"/>
        <v>0</v>
      </c>
      <c r="G656" s="964"/>
      <c r="H656" s="964"/>
      <c r="I656" s="964"/>
      <c r="J656" s="946"/>
    </row>
    <row r="657" spans="1:11" ht="15" hidden="1" customHeight="1">
      <c r="A657" s="1499"/>
      <c r="B657" s="1500"/>
      <c r="C657" s="1501"/>
      <c r="D657" s="1502"/>
      <c r="E657" s="963" t="s">
        <v>604</v>
      </c>
      <c r="F657" s="964">
        <f t="shared" si="27"/>
        <v>0</v>
      </c>
      <c r="G657" s="964"/>
      <c r="H657" s="964"/>
      <c r="I657" s="964"/>
      <c r="J657" s="946"/>
    </row>
    <row r="658" spans="1:11" ht="15" customHeight="1">
      <c r="A658" s="1499"/>
      <c r="B658" s="1500"/>
      <c r="C658" s="1501"/>
      <c r="D658" s="1502"/>
      <c r="E658" s="963" t="s">
        <v>605</v>
      </c>
      <c r="F658" s="964">
        <f t="shared" si="27"/>
        <v>108</v>
      </c>
      <c r="G658" s="964">
        <v>108</v>
      </c>
      <c r="H658" s="964"/>
      <c r="I658" s="964"/>
      <c r="J658" s="946"/>
    </row>
    <row r="659" spans="1:11" ht="15" customHeight="1">
      <c r="A659" s="1499"/>
      <c r="B659" s="1500"/>
      <c r="C659" s="1501"/>
      <c r="D659" s="1502"/>
      <c r="E659" s="963" t="s">
        <v>536</v>
      </c>
      <c r="F659" s="964">
        <f t="shared" si="27"/>
        <v>612</v>
      </c>
      <c r="G659" s="964"/>
      <c r="H659" s="964">
        <v>612</v>
      </c>
      <c r="I659" s="964"/>
      <c r="J659" s="946"/>
    </row>
    <row r="660" spans="1:11" ht="24.95" customHeight="1">
      <c r="A660" s="1499"/>
      <c r="B660" s="1500"/>
      <c r="C660" s="1501"/>
      <c r="D660" s="1502"/>
      <c r="E660" s="966" t="s">
        <v>939</v>
      </c>
      <c r="F660" s="958">
        <f>SUM(F661:F661)</f>
        <v>3106401</v>
      </c>
      <c r="G660" s="958">
        <f>SUM(G661:G661)</f>
        <v>0</v>
      </c>
      <c r="H660" s="958">
        <f>SUM(H661:H661)</f>
        <v>3106401</v>
      </c>
      <c r="I660" s="958">
        <f>SUM(I661:I661)</f>
        <v>0</v>
      </c>
      <c r="J660" s="942">
        <f>SUM(J661:J661)</f>
        <v>0</v>
      </c>
    </row>
    <row r="661" spans="1:11" ht="15" customHeight="1">
      <c r="A661" s="1499"/>
      <c r="B661" s="1500"/>
      <c r="C661" s="1501"/>
      <c r="D661" s="1502"/>
      <c r="E661" s="963" t="s">
        <v>394</v>
      </c>
      <c r="F661" s="964">
        <f>SUM(G661:J661)</f>
        <v>3106401</v>
      </c>
      <c r="G661" s="964"/>
      <c r="H661" s="964">
        <v>3106401</v>
      </c>
      <c r="I661" s="964"/>
      <c r="J661" s="946"/>
    </row>
    <row r="662" spans="1:11" s="988" customFormat="1" ht="21.95" customHeight="1">
      <c r="A662" s="1503" t="s">
        <v>948</v>
      </c>
      <c r="B662" s="1504" t="s">
        <v>1008</v>
      </c>
      <c r="C662" s="1505">
        <v>853</v>
      </c>
      <c r="D662" s="1506" t="s">
        <v>618</v>
      </c>
      <c r="E662" s="954" t="s">
        <v>937</v>
      </c>
      <c r="F662" s="955">
        <f>SUM(F663,F704)</f>
        <v>542625</v>
      </c>
      <c r="G662" s="955">
        <f>SUM(G663,G704)</f>
        <v>0</v>
      </c>
      <c r="H662" s="955">
        <f>SUM(H663,H704)</f>
        <v>461230</v>
      </c>
      <c r="I662" s="955">
        <f>SUM(I663,I704)</f>
        <v>81395</v>
      </c>
      <c r="J662" s="937">
        <f>SUM(J663,J704)</f>
        <v>0</v>
      </c>
      <c r="K662" s="987"/>
    </row>
    <row r="663" spans="1:11" s="988" customFormat="1" ht="21.95" customHeight="1">
      <c r="A663" s="1507"/>
      <c r="B663" s="1509"/>
      <c r="C663" s="1511"/>
      <c r="D663" s="1513"/>
      <c r="E663" s="957" t="s">
        <v>943</v>
      </c>
      <c r="F663" s="958">
        <f>SUM(F664,F675)</f>
        <v>542625</v>
      </c>
      <c r="G663" s="958">
        <f>SUM(G664,G675)</f>
        <v>0</v>
      </c>
      <c r="H663" s="958">
        <f>SUM(H664,H675)</f>
        <v>461230</v>
      </c>
      <c r="I663" s="958">
        <f>SUM(I664,I675)</f>
        <v>81395</v>
      </c>
      <c r="J663" s="942">
        <f>SUM(J664,J675)</f>
        <v>0</v>
      </c>
      <c r="K663" s="989"/>
    </row>
    <row r="664" spans="1:11" ht="21.95" customHeight="1">
      <c r="A664" s="1507"/>
      <c r="B664" s="1509"/>
      <c r="C664" s="1511"/>
      <c r="D664" s="1513"/>
      <c r="E664" s="960" t="s">
        <v>944</v>
      </c>
      <c r="F664" s="961">
        <f>SUM(F665:F674)</f>
        <v>243395</v>
      </c>
      <c r="G664" s="961">
        <f>SUM(G665:G674)</f>
        <v>0</v>
      </c>
      <c r="H664" s="961">
        <f>SUM(H665:H674)</f>
        <v>206888</v>
      </c>
      <c r="I664" s="961">
        <f>SUM(I665:I674)</f>
        <v>36507</v>
      </c>
      <c r="J664" s="951">
        <f>SUM(J665:J674)</f>
        <v>0</v>
      </c>
      <c r="K664" s="990"/>
    </row>
    <row r="665" spans="1:11" s="988" customFormat="1" ht="14.1" customHeight="1">
      <c r="A665" s="1507"/>
      <c r="B665" s="1509"/>
      <c r="C665" s="1511"/>
      <c r="D665" s="1513"/>
      <c r="E665" s="963" t="s">
        <v>362</v>
      </c>
      <c r="F665" s="964">
        <f t="shared" ref="F665:F674" si="28">SUM(G665:J665)</f>
        <v>149073</v>
      </c>
      <c r="G665" s="964"/>
      <c r="H665" s="964">
        <v>149073</v>
      </c>
      <c r="I665" s="964"/>
      <c r="J665" s="946"/>
      <c r="K665" s="987"/>
    </row>
    <row r="666" spans="1:11" s="988" customFormat="1" ht="14.1" customHeight="1">
      <c r="A666" s="1507"/>
      <c r="B666" s="1509"/>
      <c r="C666" s="1511"/>
      <c r="D666" s="1513"/>
      <c r="E666" s="963" t="s">
        <v>292</v>
      </c>
      <c r="F666" s="964">
        <f t="shared" si="28"/>
        <v>26306</v>
      </c>
      <c r="G666" s="964"/>
      <c r="H666" s="964"/>
      <c r="I666" s="964">
        <v>26306</v>
      </c>
      <c r="J666" s="946"/>
      <c r="K666" s="987"/>
    </row>
    <row r="667" spans="1:11" ht="14.1" customHeight="1">
      <c r="A667" s="1507"/>
      <c r="B667" s="1509"/>
      <c r="C667" s="1511"/>
      <c r="D667" s="1513"/>
      <c r="E667" s="963" t="s">
        <v>423</v>
      </c>
      <c r="F667" s="964">
        <f t="shared" si="28"/>
        <v>22428</v>
      </c>
      <c r="G667" s="964"/>
      <c r="H667" s="964">
        <v>22428</v>
      </c>
      <c r="I667" s="964"/>
      <c r="J667" s="946"/>
      <c r="K667" s="7"/>
    </row>
    <row r="668" spans="1:11" s="988" customFormat="1" ht="14.1" customHeight="1">
      <c r="A668" s="1507"/>
      <c r="B668" s="1509"/>
      <c r="C668" s="1511"/>
      <c r="D668" s="1513"/>
      <c r="E668" s="963" t="s">
        <v>294</v>
      </c>
      <c r="F668" s="964">
        <f t="shared" si="28"/>
        <v>3958</v>
      </c>
      <c r="G668" s="964"/>
      <c r="H668" s="964"/>
      <c r="I668" s="964">
        <v>3958</v>
      </c>
      <c r="J668" s="946"/>
      <c r="K668" s="987"/>
    </row>
    <row r="669" spans="1:11" s="988" customFormat="1" ht="14.1" customHeight="1">
      <c r="A669" s="1507"/>
      <c r="B669" s="1509"/>
      <c r="C669" s="1511"/>
      <c r="D669" s="1513"/>
      <c r="E669" s="963" t="s">
        <v>363</v>
      </c>
      <c r="F669" s="964">
        <f t="shared" si="28"/>
        <v>29482</v>
      </c>
      <c r="G669" s="964"/>
      <c r="H669" s="964">
        <v>29482</v>
      </c>
      <c r="I669" s="964"/>
      <c r="J669" s="946"/>
      <c r="K669" s="987"/>
    </row>
    <row r="670" spans="1:11" ht="14.1" customHeight="1">
      <c r="A670" s="1507"/>
      <c r="B670" s="1509"/>
      <c r="C670" s="1511"/>
      <c r="D670" s="1513"/>
      <c r="E670" s="963" t="s">
        <v>296</v>
      </c>
      <c r="F670" s="964">
        <f t="shared" si="28"/>
        <v>5203</v>
      </c>
      <c r="G670" s="964"/>
      <c r="H670" s="964"/>
      <c r="I670" s="964">
        <v>5203</v>
      </c>
      <c r="J670" s="946"/>
      <c r="K670" s="7"/>
    </row>
    <row r="671" spans="1:11" ht="14.1" customHeight="1">
      <c r="A671" s="1507"/>
      <c r="B671" s="1509"/>
      <c r="C671" s="1511"/>
      <c r="D671" s="1513"/>
      <c r="E671" s="963" t="s">
        <v>364</v>
      </c>
      <c r="F671" s="964">
        <f t="shared" si="28"/>
        <v>4205</v>
      </c>
      <c r="G671" s="964"/>
      <c r="H671" s="964">
        <v>4205</v>
      </c>
      <c r="I671" s="964"/>
      <c r="J671" s="946"/>
      <c r="K671" s="7"/>
    </row>
    <row r="672" spans="1:11" ht="14.1" customHeight="1">
      <c r="A672" s="1507"/>
      <c r="B672" s="1509"/>
      <c r="C672" s="1511"/>
      <c r="D672" s="1513"/>
      <c r="E672" s="963" t="s">
        <v>298</v>
      </c>
      <c r="F672" s="964">
        <f t="shared" si="28"/>
        <v>740</v>
      </c>
      <c r="G672" s="964"/>
      <c r="H672" s="964"/>
      <c r="I672" s="964">
        <v>740</v>
      </c>
      <c r="J672" s="946"/>
      <c r="K672" s="7"/>
    </row>
    <row r="673" spans="1:11" s="622" customFormat="1" ht="14.1" customHeight="1">
      <c r="A673" s="1507"/>
      <c r="B673" s="1509"/>
      <c r="C673" s="1511"/>
      <c r="D673" s="1513"/>
      <c r="E673" s="963" t="s">
        <v>460</v>
      </c>
      <c r="F673" s="964">
        <f t="shared" si="28"/>
        <v>1700</v>
      </c>
      <c r="G673" s="964"/>
      <c r="H673" s="964">
        <v>1700</v>
      </c>
      <c r="I673" s="964"/>
      <c r="J673" s="946"/>
      <c r="K673" s="991"/>
    </row>
    <row r="674" spans="1:11" ht="14.1" customHeight="1">
      <c r="A674" s="1507"/>
      <c r="B674" s="1509"/>
      <c r="C674" s="1511"/>
      <c r="D674" s="1513"/>
      <c r="E674" s="963" t="s">
        <v>300</v>
      </c>
      <c r="F674" s="964">
        <f t="shared" si="28"/>
        <v>300</v>
      </c>
      <c r="G674" s="964"/>
      <c r="H674" s="964"/>
      <c r="I674" s="964">
        <v>300</v>
      </c>
      <c r="J674" s="946"/>
      <c r="K674" s="7"/>
    </row>
    <row r="675" spans="1:11" s="988" customFormat="1" ht="21.95" customHeight="1">
      <c r="A675" s="1507"/>
      <c r="B675" s="1509"/>
      <c r="C675" s="1511"/>
      <c r="D675" s="1513"/>
      <c r="E675" s="960" t="s">
        <v>945</v>
      </c>
      <c r="F675" s="961">
        <f>SUM(F676:F703)</f>
        <v>299230</v>
      </c>
      <c r="G675" s="961">
        <f>SUM(G676:G703)</f>
        <v>0</v>
      </c>
      <c r="H675" s="961">
        <f>SUM(H676:H703)</f>
        <v>254342</v>
      </c>
      <c r="I675" s="961">
        <f>SUM(I676:I703)</f>
        <v>44888</v>
      </c>
      <c r="J675" s="951">
        <f>SUM(J676:J703)</f>
        <v>0</v>
      </c>
      <c r="K675" s="987"/>
    </row>
    <row r="676" spans="1:11" s="988" customFormat="1" ht="14.1" customHeight="1">
      <c r="A676" s="1507"/>
      <c r="B676" s="1509"/>
      <c r="C676" s="1511"/>
      <c r="D676" s="1513"/>
      <c r="E676" s="963" t="s">
        <v>523</v>
      </c>
      <c r="F676" s="964">
        <f t="shared" ref="F676:F703" si="29">SUM(G676:J676)</f>
        <v>594</v>
      </c>
      <c r="G676" s="964"/>
      <c r="H676" s="964">
        <v>594</v>
      </c>
      <c r="I676" s="964"/>
      <c r="J676" s="946"/>
      <c r="K676" s="987"/>
    </row>
    <row r="677" spans="1:11" ht="14.1" customHeight="1">
      <c r="A677" s="1507"/>
      <c r="B677" s="1509"/>
      <c r="C677" s="1511"/>
      <c r="D677" s="1513"/>
      <c r="E677" s="963" t="s">
        <v>524</v>
      </c>
      <c r="F677" s="964">
        <f t="shared" si="29"/>
        <v>104</v>
      </c>
      <c r="G677" s="964"/>
      <c r="H677" s="964"/>
      <c r="I677" s="964">
        <v>104</v>
      </c>
      <c r="J677" s="946"/>
      <c r="K677" s="7"/>
    </row>
    <row r="678" spans="1:11" s="988" customFormat="1" ht="14.1" customHeight="1">
      <c r="A678" s="1507"/>
      <c r="B678" s="1509"/>
      <c r="C678" s="1511"/>
      <c r="D678" s="1513"/>
      <c r="E678" s="963" t="s">
        <v>365</v>
      </c>
      <c r="F678" s="964">
        <f t="shared" si="29"/>
        <v>42033</v>
      </c>
      <c r="G678" s="964"/>
      <c r="H678" s="964">
        <v>42033</v>
      </c>
      <c r="I678" s="964"/>
      <c r="J678" s="946"/>
      <c r="K678" s="987"/>
    </row>
    <row r="679" spans="1:11" s="988" customFormat="1" ht="14.1" customHeight="1">
      <c r="A679" s="1507"/>
      <c r="B679" s="1509"/>
      <c r="C679" s="1511"/>
      <c r="D679" s="1513"/>
      <c r="E679" s="963" t="s">
        <v>302</v>
      </c>
      <c r="F679" s="964">
        <f t="shared" si="29"/>
        <v>7419</v>
      </c>
      <c r="G679" s="964"/>
      <c r="H679" s="964"/>
      <c r="I679" s="964">
        <v>7419</v>
      </c>
      <c r="J679" s="946"/>
      <c r="K679" s="987"/>
    </row>
    <row r="680" spans="1:11" ht="14.1" customHeight="1">
      <c r="A680" s="1507"/>
      <c r="B680" s="1509"/>
      <c r="C680" s="1511"/>
      <c r="D680" s="1513"/>
      <c r="E680" s="963" t="s">
        <v>424</v>
      </c>
      <c r="F680" s="964">
        <f t="shared" si="29"/>
        <v>4437</v>
      </c>
      <c r="G680" s="964"/>
      <c r="H680" s="964">
        <v>4437</v>
      </c>
      <c r="I680" s="964"/>
      <c r="J680" s="946"/>
      <c r="K680" s="7"/>
    </row>
    <row r="681" spans="1:11" s="988" customFormat="1" ht="14.1" customHeight="1">
      <c r="A681" s="1507"/>
      <c r="B681" s="1509"/>
      <c r="C681" s="1511"/>
      <c r="D681" s="1513"/>
      <c r="E681" s="963" t="s">
        <v>425</v>
      </c>
      <c r="F681" s="964">
        <f t="shared" si="29"/>
        <v>783</v>
      </c>
      <c r="G681" s="964"/>
      <c r="H681" s="964"/>
      <c r="I681" s="964">
        <v>783</v>
      </c>
      <c r="J681" s="946"/>
      <c r="K681" s="987"/>
    </row>
    <row r="682" spans="1:11" s="988" customFormat="1" ht="14.1" customHeight="1">
      <c r="A682" s="1507"/>
      <c r="B682" s="1509"/>
      <c r="C682" s="1511"/>
      <c r="D682" s="1513"/>
      <c r="E682" s="963" t="s">
        <v>619</v>
      </c>
      <c r="F682" s="964">
        <f t="shared" si="29"/>
        <v>3060</v>
      </c>
      <c r="G682" s="964"/>
      <c r="H682" s="964">
        <v>3060</v>
      </c>
      <c r="I682" s="964"/>
      <c r="J682" s="946"/>
      <c r="K682" s="987"/>
    </row>
    <row r="683" spans="1:11" ht="14.1" customHeight="1">
      <c r="A683" s="1507"/>
      <c r="B683" s="1509"/>
      <c r="C683" s="1511"/>
      <c r="D683" s="1513"/>
      <c r="E683" s="963" t="s">
        <v>616</v>
      </c>
      <c r="F683" s="964">
        <f t="shared" si="29"/>
        <v>540</v>
      </c>
      <c r="G683" s="964"/>
      <c r="H683" s="964"/>
      <c r="I683" s="964">
        <v>540</v>
      </c>
      <c r="J683" s="946"/>
    </row>
    <row r="684" spans="1:11" ht="14.1" customHeight="1">
      <c r="A684" s="1507"/>
      <c r="B684" s="1509"/>
      <c r="C684" s="1511"/>
      <c r="D684" s="1513"/>
      <c r="E684" s="963" t="s">
        <v>527</v>
      </c>
      <c r="F684" s="964">
        <f t="shared" si="29"/>
        <v>510</v>
      </c>
      <c r="G684" s="964"/>
      <c r="H684" s="964">
        <v>510</v>
      </c>
      <c r="I684" s="964"/>
      <c r="J684" s="946"/>
    </row>
    <row r="685" spans="1:11" ht="14.1" customHeight="1">
      <c r="A685" s="1507"/>
      <c r="B685" s="1509"/>
      <c r="C685" s="1511"/>
      <c r="D685" s="1513"/>
      <c r="E685" s="963" t="s">
        <v>528</v>
      </c>
      <c r="F685" s="964">
        <f t="shared" si="29"/>
        <v>90</v>
      </c>
      <c r="G685" s="964"/>
      <c r="H685" s="964"/>
      <c r="I685" s="964">
        <v>90</v>
      </c>
      <c r="J685" s="946"/>
    </row>
    <row r="686" spans="1:11" ht="14.1" customHeight="1">
      <c r="A686" s="1507"/>
      <c r="B686" s="1509"/>
      <c r="C686" s="1511"/>
      <c r="D686" s="1513"/>
      <c r="E686" s="963" t="s">
        <v>366</v>
      </c>
      <c r="F686" s="964">
        <f t="shared" si="29"/>
        <v>179554</v>
      </c>
      <c r="G686" s="964"/>
      <c r="H686" s="964">
        <v>179554</v>
      </c>
      <c r="I686" s="964"/>
      <c r="J686" s="946"/>
    </row>
    <row r="687" spans="1:11" ht="14.1" customHeight="1">
      <c r="A687" s="1507"/>
      <c r="B687" s="1509"/>
      <c r="C687" s="1511"/>
      <c r="D687" s="1513"/>
      <c r="E687" s="963" t="s">
        <v>304</v>
      </c>
      <c r="F687" s="964">
        <f t="shared" si="29"/>
        <v>31691</v>
      </c>
      <c r="G687" s="964"/>
      <c r="H687" s="964"/>
      <c r="I687" s="964">
        <v>31691</v>
      </c>
      <c r="J687" s="946"/>
    </row>
    <row r="688" spans="1:11" ht="14.1" customHeight="1">
      <c r="A688" s="1507"/>
      <c r="B688" s="1509"/>
      <c r="C688" s="1511"/>
      <c r="D688" s="1513"/>
      <c r="E688" s="963" t="s">
        <v>426</v>
      </c>
      <c r="F688" s="964">
        <f t="shared" si="29"/>
        <v>2403</v>
      </c>
      <c r="G688" s="964"/>
      <c r="H688" s="964">
        <v>2403</v>
      </c>
      <c r="I688" s="964"/>
      <c r="J688" s="946"/>
    </row>
    <row r="689" spans="1:10" ht="14.1" customHeight="1">
      <c r="A689" s="1507"/>
      <c r="B689" s="1509"/>
      <c r="C689" s="1511"/>
      <c r="D689" s="1513"/>
      <c r="E689" s="963" t="s">
        <v>306</v>
      </c>
      <c r="F689" s="964">
        <f t="shared" si="29"/>
        <v>424</v>
      </c>
      <c r="G689" s="964"/>
      <c r="H689" s="964"/>
      <c r="I689" s="964">
        <v>424</v>
      </c>
      <c r="J689" s="946"/>
    </row>
    <row r="690" spans="1:10" ht="14.1" customHeight="1">
      <c r="A690" s="1507"/>
      <c r="B690" s="1509"/>
      <c r="C690" s="1511"/>
      <c r="D690" s="1513"/>
      <c r="E690" s="963" t="s">
        <v>427</v>
      </c>
      <c r="F690" s="964">
        <f t="shared" si="29"/>
        <v>687</v>
      </c>
      <c r="G690" s="964"/>
      <c r="H690" s="964">
        <v>687</v>
      </c>
      <c r="I690" s="964"/>
      <c r="J690" s="946"/>
    </row>
    <row r="691" spans="1:10" ht="14.1" customHeight="1">
      <c r="A691" s="1507"/>
      <c r="B691" s="1509"/>
      <c r="C691" s="1511"/>
      <c r="D691" s="1513"/>
      <c r="E691" s="963" t="s">
        <v>308</v>
      </c>
      <c r="F691" s="964">
        <f t="shared" si="29"/>
        <v>121</v>
      </c>
      <c r="G691" s="964"/>
      <c r="H691" s="964"/>
      <c r="I691" s="964">
        <v>121</v>
      </c>
      <c r="J691" s="946"/>
    </row>
    <row r="692" spans="1:10" ht="14.1" customHeight="1">
      <c r="A692" s="1507"/>
      <c r="B692" s="1509"/>
      <c r="C692" s="1511"/>
      <c r="D692" s="1513"/>
      <c r="E692" s="963" t="s">
        <v>461</v>
      </c>
      <c r="F692" s="964">
        <f t="shared" si="29"/>
        <v>1513</v>
      </c>
      <c r="G692" s="964"/>
      <c r="H692" s="964">
        <v>1513</v>
      </c>
      <c r="I692" s="964"/>
      <c r="J692" s="946"/>
    </row>
    <row r="693" spans="1:10" ht="14.1" customHeight="1">
      <c r="A693" s="1507"/>
      <c r="B693" s="1509"/>
      <c r="C693" s="1511"/>
      <c r="D693" s="1513"/>
      <c r="E693" s="963" t="s">
        <v>447</v>
      </c>
      <c r="F693" s="964">
        <f t="shared" si="29"/>
        <v>267</v>
      </c>
      <c r="G693" s="964"/>
      <c r="H693" s="964"/>
      <c r="I693" s="964">
        <v>267</v>
      </c>
      <c r="J693" s="946"/>
    </row>
    <row r="694" spans="1:10" ht="14.1" customHeight="1">
      <c r="A694" s="1507"/>
      <c r="B694" s="1509"/>
      <c r="C694" s="1511"/>
      <c r="D694" s="1513"/>
      <c r="E694" s="963" t="s">
        <v>462</v>
      </c>
      <c r="F694" s="964">
        <f t="shared" si="29"/>
        <v>8862</v>
      </c>
      <c r="G694" s="964"/>
      <c r="H694" s="964">
        <v>8862</v>
      </c>
      <c r="I694" s="964"/>
      <c r="J694" s="946"/>
    </row>
    <row r="695" spans="1:10" ht="14.1" customHeight="1">
      <c r="A695" s="1507"/>
      <c r="B695" s="1509"/>
      <c r="C695" s="1511"/>
      <c r="D695" s="1513"/>
      <c r="E695" s="963" t="s">
        <v>452</v>
      </c>
      <c r="F695" s="964">
        <f t="shared" si="29"/>
        <v>1564</v>
      </c>
      <c r="G695" s="964"/>
      <c r="H695" s="964"/>
      <c r="I695" s="964">
        <v>1564</v>
      </c>
      <c r="J695" s="946"/>
    </row>
    <row r="696" spans="1:10" ht="14.1" customHeight="1">
      <c r="A696" s="1507"/>
      <c r="B696" s="1509"/>
      <c r="C696" s="1511"/>
      <c r="D696" s="1513"/>
      <c r="E696" s="963" t="s">
        <v>392</v>
      </c>
      <c r="F696" s="964">
        <f t="shared" si="29"/>
        <v>3733</v>
      </c>
      <c r="G696" s="964"/>
      <c r="H696" s="964">
        <v>3733</v>
      </c>
      <c r="I696" s="964"/>
      <c r="J696" s="946"/>
    </row>
    <row r="697" spans="1:10" ht="14.1" customHeight="1">
      <c r="A697" s="1507"/>
      <c r="B697" s="1509"/>
      <c r="C697" s="1511"/>
      <c r="D697" s="1513"/>
      <c r="E697" s="963" t="s">
        <v>310</v>
      </c>
      <c r="F697" s="964">
        <f t="shared" si="29"/>
        <v>660</v>
      </c>
      <c r="G697" s="964"/>
      <c r="H697" s="964"/>
      <c r="I697" s="964">
        <v>660</v>
      </c>
      <c r="J697" s="946"/>
    </row>
    <row r="698" spans="1:10" ht="14.1" customHeight="1">
      <c r="A698" s="1507"/>
      <c r="B698" s="1509"/>
      <c r="C698" s="1511"/>
      <c r="D698" s="1513"/>
      <c r="E698" s="963" t="s">
        <v>620</v>
      </c>
      <c r="F698" s="964">
        <f t="shared" si="29"/>
        <v>850</v>
      </c>
      <c r="G698" s="964"/>
      <c r="H698" s="964">
        <v>850</v>
      </c>
      <c r="I698" s="964"/>
      <c r="J698" s="946"/>
    </row>
    <row r="699" spans="1:10" ht="14.1" customHeight="1">
      <c r="A699" s="1507"/>
      <c r="B699" s="1509"/>
      <c r="C699" s="1511"/>
      <c r="D699" s="1513"/>
      <c r="E699" s="963" t="s">
        <v>316</v>
      </c>
      <c r="F699" s="964">
        <f t="shared" si="29"/>
        <v>150</v>
      </c>
      <c r="G699" s="964"/>
      <c r="H699" s="964"/>
      <c r="I699" s="964">
        <v>150</v>
      </c>
      <c r="J699" s="946"/>
    </row>
    <row r="700" spans="1:10" ht="14.1" customHeight="1">
      <c r="A700" s="1507"/>
      <c r="B700" s="1509"/>
      <c r="C700" s="1511"/>
      <c r="D700" s="1513"/>
      <c r="E700" s="963" t="s">
        <v>428</v>
      </c>
      <c r="F700" s="964">
        <f t="shared" si="29"/>
        <v>5904</v>
      </c>
      <c r="G700" s="964"/>
      <c r="H700" s="964">
        <v>5904</v>
      </c>
      <c r="I700" s="964"/>
      <c r="J700" s="946"/>
    </row>
    <row r="701" spans="1:10" ht="14.1" customHeight="1">
      <c r="A701" s="1507"/>
      <c r="B701" s="1509"/>
      <c r="C701" s="1511"/>
      <c r="D701" s="1513"/>
      <c r="E701" s="963" t="s">
        <v>429</v>
      </c>
      <c r="F701" s="964">
        <f t="shared" si="29"/>
        <v>1039</v>
      </c>
      <c r="G701" s="964"/>
      <c r="H701" s="964"/>
      <c r="I701" s="964">
        <v>1039</v>
      </c>
      <c r="J701" s="946"/>
    </row>
    <row r="702" spans="1:10" ht="14.1" customHeight="1">
      <c r="A702" s="1507"/>
      <c r="B702" s="1509"/>
      <c r="C702" s="1511"/>
      <c r="D702" s="1513"/>
      <c r="E702" s="963" t="s">
        <v>536</v>
      </c>
      <c r="F702" s="964">
        <f t="shared" si="29"/>
        <v>202</v>
      </c>
      <c r="G702" s="964"/>
      <c r="H702" s="964">
        <v>202</v>
      </c>
      <c r="I702" s="964"/>
      <c r="J702" s="946"/>
    </row>
    <row r="703" spans="1:10" ht="14.1" customHeight="1">
      <c r="A703" s="1507"/>
      <c r="B703" s="1509"/>
      <c r="C703" s="1511"/>
      <c r="D703" s="1513"/>
      <c r="E703" s="963" t="s">
        <v>454</v>
      </c>
      <c r="F703" s="964">
        <f t="shared" si="29"/>
        <v>36</v>
      </c>
      <c r="G703" s="964"/>
      <c r="H703" s="964"/>
      <c r="I703" s="964">
        <v>36</v>
      </c>
      <c r="J703" s="946"/>
    </row>
    <row r="704" spans="1:10" ht="20.100000000000001" customHeight="1">
      <c r="A704" s="1508"/>
      <c r="B704" s="1510"/>
      <c r="C704" s="1512"/>
      <c r="D704" s="1514"/>
      <c r="E704" s="966" t="s">
        <v>939</v>
      </c>
      <c r="F704" s="958">
        <f>SUM(F705:F706)</f>
        <v>0</v>
      </c>
      <c r="G704" s="958">
        <f>SUM(G705:G706)</f>
        <v>0</v>
      </c>
      <c r="H704" s="958">
        <f>SUM(H705:H706)</f>
        <v>0</v>
      </c>
      <c r="I704" s="958">
        <f>SUM(I705:I706)</f>
        <v>0</v>
      </c>
      <c r="J704" s="942">
        <f>SUM(J705:J706)</f>
        <v>0</v>
      </c>
    </row>
    <row r="705" spans="1:11" ht="15" hidden="1" customHeight="1">
      <c r="A705" s="967"/>
      <c r="B705" s="968"/>
      <c r="C705" s="969"/>
      <c r="D705" s="970"/>
      <c r="E705" s="982"/>
      <c r="F705" s="964">
        <f>SUM(G705:J705)</f>
        <v>0</v>
      </c>
      <c r="G705" s="964"/>
      <c r="H705" s="964"/>
      <c r="I705" s="964"/>
      <c r="J705" s="946"/>
    </row>
    <row r="706" spans="1:11" ht="15" hidden="1" customHeight="1">
      <c r="A706" s="971"/>
      <c r="B706" s="972"/>
      <c r="C706" s="973"/>
      <c r="D706" s="974"/>
      <c r="E706" s="975"/>
      <c r="F706" s="964">
        <f>SUM(G706:J706)</f>
        <v>0</v>
      </c>
      <c r="G706" s="964"/>
      <c r="H706" s="964"/>
      <c r="I706" s="964"/>
      <c r="J706" s="946"/>
    </row>
    <row r="707" spans="1:11" s="939" customFormat="1" ht="24.95" customHeight="1">
      <c r="A707" s="1499" t="s">
        <v>950</v>
      </c>
      <c r="B707" s="1500" t="s">
        <v>1009</v>
      </c>
      <c r="C707" s="1501">
        <v>750</v>
      </c>
      <c r="D707" s="1502" t="s">
        <v>458</v>
      </c>
      <c r="E707" s="954" t="s">
        <v>937</v>
      </c>
      <c r="F707" s="955">
        <f>SUM(F708,F719)</f>
        <v>15500</v>
      </c>
      <c r="G707" s="955">
        <f>SUM(G708,G719)</f>
        <v>0</v>
      </c>
      <c r="H707" s="955">
        <f>SUM(H708,H719)</f>
        <v>13175</v>
      </c>
      <c r="I707" s="955">
        <f>SUM(I708,I719)</f>
        <v>2325</v>
      </c>
      <c r="J707" s="937">
        <f>SUM(J708,J719)</f>
        <v>0</v>
      </c>
      <c r="K707" s="938"/>
    </row>
    <row r="708" spans="1:11" s="939" customFormat="1" ht="24.95" customHeight="1">
      <c r="A708" s="1499"/>
      <c r="B708" s="1500"/>
      <c r="C708" s="1501"/>
      <c r="D708" s="1502"/>
      <c r="E708" s="957" t="s">
        <v>943</v>
      </c>
      <c r="F708" s="958">
        <f>SUM(F709,F716)</f>
        <v>15500</v>
      </c>
      <c r="G708" s="958">
        <f>SUM(G709,G716)</f>
        <v>0</v>
      </c>
      <c r="H708" s="958">
        <f>SUM(H709,H716)</f>
        <v>13175</v>
      </c>
      <c r="I708" s="958">
        <f>SUM(I709,I716)</f>
        <v>2325</v>
      </c>
      <c r="J708" s="942">
        <f>SUM(J709,J716)</f>
        <v>0</v>
      </c>
      <c r="K708" s="938"/>
    </row>
    <row r="709" spans="1:11" s="939" customFormat="1" ht="24.95" customHeight="1">
      <c r="A709" s="1499"/>
      <c r="B709" s="1500"/>
      <c r="C709" s="1501"/>
      <c r="D709" s="1502"/>
      <c r="E709" s="960" t="s">
        <v>944</v>
      </c>
      <c r="F709" s="961">
        <f>SUM(F710:F715)</f>
        <v>15500</v>
      </c>
      <c r="G709" s="961">
        <f>SUM(G710:G715)</f>
        <v>0</v>
      </c>
      <c r="H709" s="961">
        <f>SUM(H710:H715)</f>
        <v>13175</v>
      </c>
      <c r="I709" s="961">
        <f>SUM(I710:I715)</f>
        <v>2325</v>
      </c>
      <c r="J709" s="951">
        <f>SUM(J710:J715)</f>
        <v>0</v>
      </c>
      <c r="K709" s="938"/>
    </row>
    <row r="710" spans="1:11" s="939" customFormat="1" ht="15" customHeight="1">
      <c r="A710" s="1499"/>
      <c r="B710" s="1500"/>
      <c r="C710" s="1501"/>
      <c r="D710" s="1502"/>
      <c r="E710" s="963" t="s">
        <v>423</v>
      </c>
      <c r="F710" s="964">
        <f t="shared" ref="F710:F715" si="30">SUM(G710:J710)</f>
        <v>11012</v>
      </c>
      <c r="G710" s="964"/>
      <c r="H710" s="964">
        <v>11012</v>
      </c>
      <c r="I710" s="964"/>
      <c r="J710" s="946"/>
      <c r="K710" s="938"/>
    </row>
    <row r="711" spans="1:11" s="939" customFormat="1" ht="15" customHeight="1">
      <c r="A711" s="1499"/>
      <c r="B711" s="1500"/>
      <c r="C711" s="1501"/>
      <c r="D711" s="1502"/>
      <c r="E711" s="963" t="s">
        <v>294</v>
      </c>
      <c r="F711" s="964">
        <f t="shared" si="30"/>
        <v>1944</v>
      </c>
      <c r="G711" s="964"/>
      <c r="H711" s="964"/>
      <c r="I711" s="964">
        <v>1944</v>
      </c>
      <c r="J711" s="946"/>
      <c r="K711" s="938"/>
    </row>
    <row r="712" spans="1:11" s="939" customFormat="1" ht="15" customHeight="1">
      <c r="A712" s="1499"/>
      <c r="B712" s="1500"/>
      <c r="C712" s="1501"/>
      <c r="D712" s="1502"/>
      <c r="E712" s="963" t="s">
        <v>363</v>
      </c>
      <c r="F712" s="964">
        <f t="shared" si="30"/>
        <v>1893</v>
      </c>
      <c r="G712" s="964"/>
      <c r="H712" s="964">
        <v>1893</v>
      </c>
      <c r="I712" s="964"/>
      <c r="J712" s="946"/>
      <c r="K712" s="938"/>
    </row>
    <row r="713" spans="1:11" s="939" customFormat="1" ht="15" customHeight="1">
      <c r="A713" s="1499"/>
      <c r="B713" s="1500"/>
      <c r="C713" s="1501"/>
      <c r="D713" s="1502"/>
      <c r="E713" s="963" t="s">
        <v>296</v>
      </c>
      <c r="F713" s="964">
        <f t="shared" si="30"/>
        <v>334</v>
      </c>
      <c r="G713" s="964"/>
      <c r="H713" s="964"/>
      <c r="I713" s="964">
        <v>334</v>
      </c>
      <c r="J713" s="946"/>
      <c r="K713" s="938"/>
    </row>
    <row r="714" spans="1:11" s="939" customFormat="1" ht="15" customHeight="1">
      <c r="A714" s="1499"/>
      <c r="B714" s="1500"/>
      <c r="C714" s="1501"/>
      <c r="D714" s="1502"/>
      <c r="E714" s="963" t="s">
        <v>364</v>
      </c>
      <c r="F714" s="964">
        <f t="shared" si="30"/>
        <v>270</v>
      </c>
      <c r="G714" s="964"/>
      <c r="H714" s="964">
        <v>270</v>
      </c>
      <c r="I714" s="964"/>
      <c r="J714" s="946"/>
      <c r="K714" s="938"/>
    </row>
    <row r="715" spans="1:11" s="939" customFormat="1" ht="15" customHeight="1">
      <c r="A715" s="1499"/>
      <c r="B715" s="1500"/>
      <c r="C715" s="1501"/>
      <c r="D715" s="1502"/>
      <c r="E715" s="963" t="s">
        <v>298</v>
      </c>
      <c r="F715" s="964">
        <f t="shared" si="30"/>
        <v>47</v>
      </c>
      <c r="G715" s="964"/>
      <c r="H715" s="964"/>
      <c r="I715" s="964">
        <v>47</v>
      </c>
      <c r="J715" s="946"/>
      <c r="K715" s="938"/>
    </row>
    <row r="716" spans="1:11" s="939" customFormat="1" ht="24.95" hidden="1" customHeight="1">
      <c r="A716" s="1499"/>
      <c r="B716" s="1500"/>
      <c r="C716" s="1501"/>
      <c r="D716" s="1502"/>
      <c r="E716" s="960" t="s">
        <v>945</v>
      </c>
      <c r="F716" s="961">
        <f>SUM(F717:F718)</f>
        <v>0</v>
      </c>
      <c r="G716" s="961">
        <f>SUM(G717:G718)</f>
        <v>0</v>
      </c>
      <c r="H716" s="961">
        <f>SUM(H717:H718)</f>
        <v>0</v>
      </c>
      <c r="I716" s="961">
        <f>SUM(I717:I718)</f>
        <v>0</v>
      </c>
      <c r="J716" s="951">
        <f>SUM(J717:J718)</f>
        <v>0</v>
      </c>
      <c r="K716" s="938"/>
    </row>
    <row r="717" spans="1:11" s="939" customFormat="1" ht="15" hidden="1" customHeight="1">
      <c r="A717" s="1499"/>
      <c r="B717" s="1500"/>
      <c r="C717" s="1501"/>
      <c r="D717" s="1502"/>
      <c r="E717" s="963"/>
      <c r="F717" s="964">
        <f t="shared" ref="F717:F718" si="31">SUM(G717:J717)</f>
        <v>0</v>
      </c>
      <c r="G717" s="964"/>
      <c r="H717" s="964"/>
      <c r="I717" s="964"/>
      <c r="J717" s="946"/>
      <c r="K717" s="938"/>
    </row>
    <row r="718" spans="1:11" s="939" customFormat="1" ht="15" hidden="1" customHeight="1">
      <c r="A718" s="1499"/>
      <c r="B718" s="1500"/>
      <c r="C718" s="1501"/>
      <c r="D718" s="1502"/>
      <c r="E718" s="963"/>
      <c r="F718" s="964">
        <f t="shared" si="31"/>
        <v>0</v>
      </c>
      <c r="G718" s="964"/>
      <c r="H718" s="964"/>
      <c r="I718" s="964"/>
      <c r="J718" s="946"/>
      <c r="K718" s="938"/>
    </row>
    <row r="719" spans="1:11" s="622" customFormat="1" ht="24.95" customHeight="1" thickBot="1">
      <c r="A719" s="1499"/>
      <c r="B719" s="1500"/>
      <c r="C719" s="1501"/>
      <c r="D719" s="1502"/>
      <c r="E719" s="966" t="s">
        <v>939</v>
      </c>
      <c r="F719" s="958">
        <f>SUM(F720:F721)</f>
        <v>0</v>
      </c>
      <c r="G719" s="958">
        <f>SUM(G720:G721)</f>
        <v>0</v>
      </c>
      <c r="H719" s="958">
        <f>SUM(H720:H721)</f>
        <v>0</v>
      </c>
      <c r="I719" s="958">
        <f>SUM(I720:I721)</f>
        <v>0</v>
      </c>
      <c r="J719" s="942">
        <f>SUM(J720:J721)</f>
        <v>0</v>
      </c>
      <c r="K719" s="991"/>
    </row>
    <row r="720" spans="1:11" s="622" customFormat="1" ht="15" hidden="1" customHeight="1">
      <c r="A720" s="1499"/>
      <c r="B720" s="1500"/>
      <c r="C720" s="1501"/>
      <c r="D720" s="1502"/>
      <c r="E720" s="963"/>
      <c r="F720" s="964">
        <f>SUM(G720:J720)</f>
        <v>0</v>
      </c>
      <c r="G720" s="964"/>
      <c r="H720" s="964"/>
      <c r="I720" s="964"/>
      <c r="J720" s="946"/>
      <c r="K720" s="991"/>
    </row>
    <row r="721" spans="1:11" ht="15" hidden="1" customHeight="1" thickBot="1">
      <c r="A721" s="1503"/>
      <c r="B721" s="1504"/>
      <c r="C721" s="1505"/>
      <c r="D721" s="1506"/>
      <c r="E721" s="977"/>
      <c r="F721" s="978">
        <f>SUM(G721:J721)</f>
        <v>0</v>
      </c>
      <c r="G721" s="978"/>
      <c r="H721" s="978"/>
      <c r="I721" s="978"/>
      <c r="J721" s="979"/>
      <c r="K721" s="7"/>
    </row>
    <row r="722" spans="1:11" ht="24.95" customHeight="1" thickBot="1">
      <c r="A722" s="931" t="s">
        <v>1010</v>
      </c>
      <c r="B722" s="1515" t="s">
        <v>1011</v>
      </c>
      <c r="C722" s="1515"/>
      <c r="D722" s="1515"/>
      <c r="E722" s="1515"/>
      <c r="F722" s="980">
        <f>F724+F745+F762+F770</f>
        <v>306120</v>
      </c>
      <c r="G722" s="980">
        <f>G724+G745+G762+G770</f>
        <v>0</v>
      </c>
      <c r="H722" s="980">
        <f>H724+H745+H762+H770</f>
        <v>276096</v>
      </c>
      <c r="I722" s="980">
        <f>I724+I745+I762+I770</f>
        <v>30024</v>
      </c>
      <c r="J722" s="981">
        <f>J724+J745+J762+J770</f>
        <v>0</v>
      </c>
    </row>
    <row r="723" spans="1:11">
      <c r="A723" s="1516"/>
      <c r="B723" s="1517"/>
      <c r="C723" s="1517"/>
      <c r="D723" s="1517"/>
      <c r="E723" s="1517"/>
      <c r="F723" s="1517"/>
      <c r="G723" s="1517"/>
      <c r="H723" s="1517"/>
      <c r="I723" s="1517"/>
      <c r="J723" s="1518"/>
    </row>
    <row r="724" spans="1:11" ht="24.95" customHeight="1">
      <c r="A724" s="1503" t="s">
        <v>935</v>
      </c>
      <c r="B724" s="1504" t="s">
        <v>1012</v>
      </c>
      <c r="C724" s="1505">
        <v>801</v>
      </c>
      <c r="D724" s="1506" t="s">
        <v>521</v>
      </c>
      <c r="E724" s="954" t="s">
        <v>937</v>
      </c>
      <c r="F724" s="955">
        <f>SUM(F725,F742)</f>
        <v>120515</v>
      </c>
      <c r="G724" s="955">
        <f>SUM(G725,G742)</f>
        <v>0</v>
      </c>
      <c r="H724" s="955">
        <f>SUM(H725,H742)</f>
        <v>102438</v>
      </c>
      <c r="I724" s="955">
        <f>SUM(I725,I742)</f>
        <v>18077</v>
      </c>
      <c r="J724" s="937">
        <f>SUM(J725,J742)</f>
        <v>0</v>
      </c>
    </row>
    <row r="725" spans="1:11" ht="24.95" customHeight="1">
      <c r="A725" s="1507"/>
      <c r="B725" s="1509"/>
      <c r="C725" s="1511"/>
      <c r="D725" s="1513"/>
      <c r="E725" s="957" t="s">
        <v>943</v>
      </c>
      <c r="F725" s="958">
        <f>SUM(F726,F735)</f>
        <v>120515</v>
      </c>
      <c r="G725" s="958">
        <f>SUM(G726,G735)</f>
        <v>0</v>
      </c>
      <c r="H725" s="958">
        <f>SUM(H726,H735)</f>
        <v>102438</v>
      </c>
      <c r="I725" s="958">
        <f>SUM(I726,I735)</f>
        <v>18077</v>
      </c>
      <c r="J725" s="942">
        <f>SUM(J726,J735)</f>
        <v>0</v>
      </c>
    </row>
    <row r="726" spans="1:11" ht="24.95" customHeight="1">
      <c r="A726" s="1507"/>
      <c r="B726" s="1509"/>
      <c r="C726" s="1511"/>
      <c r="D726" s="1513"/>
      <c r="E726" s="960" t="s">
        <v>944</v>
      </c>
      <c r="F726" s="961">
        <f>SUM(F727:F734)</f>
        <v>45915</v>
      </c>
      <c r="G726" s="961">
        <f>SUM(G727:G734)</f>
        <v>0</v>
      </c>
      <c r="H726" s="961">
        <f>SUM(H727:H734)</f>
        <v>39028</v>
      </c>
      <c r="I726" s="961">
        <f>SUM(I727:I734)</f>
        <v>6887</v>
      </c>
      <c r="J726" s="951">
        <f>SUM(J727:J734)</f>
        <v>0</v>
      </c>
    </row>
    <row r="727" spans="1:11" ht="15" customHeight="1">
      <c r="A727" s="1507"/>
      <c r="B727" s="1509"/>
      <c r="C727" s="1511"/>
      <c r="D727" s="1513"/>
      <c r="E727" s="963" t="s">
        <v>362</v>
      </c>
      <c r="F727" s="964">
        <f t="shared" ref="F727:F734" si="32">SUM(G727:J727)</f>
        <v>32622</v>
      </c>
      <c r="G727" s="964"/>
      <c r="H727" s="964">
        <v>32622</v>
      </c>
      <c r="I727" s="964"/>
      <c r="J727" s="946"/>
    </row>
    <row r="728" spans="1:11" ht="15" customHeight="1">
      <c r="A728" s="1507"/>
      <c r="B728" s="1509"/>
      <c r="C728" s="1511"/>
      <c r="D728" s="1513"/>
      <c r="E728" s="963" t="s">
        <v>292</v>
      </c>
      <c r="F728" s="964">
        <f t="shared" si="32"/>
        <v>5756</v>
      </c>
      <c r="G728" s="964"/>
      <c r="H728" s="964"/>
      <c r="I728" s="964">
        <v>5756</v>
      </c>
      <c r="J728" s="946"/>
    </row>
    <row r="729" spans="1:11" ht="15" customHeight="1">
      <c r="A729" s="1507"/>
      <c r="B729" s="1509"/>
      <c r="C729" s="1511"/>
      <c r="D729" s="1513"/>
      <c r="E729" s="963" t="s">
        <v>363</v>
      </c>
      <c r="F729" s="964">
        <f t="shared" si="32"/>
        <v>5607</v>
      </c>
      <c r="G729" s="964"/>
      <c r="H729" s="964">
        <v>5607</v>
      </c>
      <c r="I729" s="964"/>
      <c r="J729" s="946"/>
    </row>
    <row r="730" spans="1:11" ht="15" customHeight="1">
      <c r="A730" s="1507"/>
      <c r="B730" s="1509"/>
      <c r="C730" s="1511"/>
      <c r="D730" s="1513"/>
      <c r="E730" s="963" t="s">
        <v>296</v>
      </c>
      <c r="F730" s="964">
        <f t="shared" si="32"/>
        <v>990</v>
      </c>
      <c r="G730" s="964"/>
      <c r="H730" s="964"/>
      <c r="I730" s="964">
        <v>990</v>
      </c>
      <c r="J730" s="946"/>
    </row>
    <row r="731" spans="1:11" ht="15" customHeight="1">
      <c r="A731" s="1507"/>
      <c r="B731" s="1509"/>
      <c r="C731" s="1511"/>
      <c r="D731" s="1513"/>
      <c r="E731" s="963" t="s">
        <v>364</v>
      </c>
      <c r="F731" s="964">
        <f t="shared" si="32"/>
        <v>799</v>
      </c>
      <c r="G731" s="964"/>
      <c r="H731" s="964">
        <v>799</v>
      </c>
      <c r="I731" s="964"/>
      <c r="J731" s="946"/>
    </row>
    <row r="732" spans="1:11" ht="15" customHeight="1">
      <c r="A732" s="1507"/>
      <c r="B732" s="1509"/>
      <c r="C732" s="1511"/>
      <c r="D732" s="1513"/>
      <c r="E732" s="963" t="s">
        <v>298</v>
      </c>
      <c r="F732" s="964">
        <f t="shared" si="32"/>
        <v>141</v>
      </c>
      <c r="G732" s="964"/>
      <c r="H732" s="964"/>
      <c r="I732" s="964">
        <v>141</v>
      </c>
      <c r="J732" s="946"/>
    </row>
    <row r="733" spans="1:11" ht="15" hidden="1" customHeight="1">
      <c r="A733" s="1507"/>
      <c r="B733" s="1509"/>
      <c r="C733" s="1511"/>
      <c r="D733" s="1513"/>
      <c r="E733" s="963" t="s">
        <v>460</v>
      </c>
      <c r="F733" s="964">
        <f t="shared" si="32"/>
        <v>0</v>
      </c>
      <c r="G733" s="964"/>
      <c r="H733" s="964"/>
      <c r="I733" s="964"/>
      <c r="J733" s="946"/>
    </row>
    <row r="734" spans="1:11" ht="15" hidden="1" customHeight="1">
      <c r="A734" s="1507"/>
      <c r="B734" s="1509"/>
      <c r="C734" s="1511"/>
      <c r="D734" s="1513"/>
      <c r="E734" s="963" t="s">
        <v>300</v>
      </c>
      <c r="F734" s="964">
        <f t="shared" si="32"/>
        <v>0</v>
      </c>
      <c r="G734" s="964"/>
      <c r="H734" s="964"/>
      <c r="I734" s="964"/>
      <c r="J734" s="946"/>
    </row>
    <row r="735" spans="1:11" ht="24.95" customHeight="1">
      <c r="A735" s="1507"/>
      <c r="B735" s="1509"/>
      <c r="C735" s="1511"/>
      <c r="D735" s="1513"/>
      <c r="E735" s="960" t="s">
        <v>945</v>
      </c>
      <c r="F735" s="961">
        <f>SUM(F736:F741)</f>
        <v>74600</v>
      </c>
      <c r="G735" s="961">
        <f>SUM(G736:G741)</f>
        <v>0</v>
      </c>
      <c r="H735" s="961">
        <f>SUM(H736:H741)</f>
        <v>63410</v>
      </c>
      <c r="I735" s="961">
        <f>SUM(I736:I741)</f>
        <v>11190</v>
      </c>
      <c r="J735" s="951">
        <f>SUM(J736:J741)</f>
        <v>0</v>
      </c>
    </row>
    <row r="736" spans="1:11" ht="15" customHeight="1">
      <c r="A736" s="1507"/>
      <c r="B736" s="1509"/>
      <c r="C736" s="1511"/>
      <c r="D736" s="1513"/>
      <c r="E736" s="963" t="s">
        <v>365</v>
      </c>
      <c r="F736" s="964">
        <f t="shared" ref="F736:F741" si="33">SUM(G736:J736)</f>
        <v>4250</v>
      </c>
      <c r="G736" s="964"/>
      <c r="H736" s="964">
        <v>4250</v>
      </c>
      <c r="I736" s="964"/>
      <c r="J736" s="946"/>
    </row>
    <row r="737" spans="1:10" ht="15" customHeight="1">
      <c r="A737" s="1507"/>
      <c r="B737" s="1509"/>
      <c r="C737" s="1511"/>
      <c r="D737" s="1513"/>
      <c r="E737" s="963" t="s">
        <v>302</v>
      </c>
      <c r="F737" s="964">
        <f t="shared" si="33"/>
        <v>750</v>
      </c>
      <c r="G737" s="964"/>
      <c r="H737" s="964"/>
      <c r="I737" s="964">
        <v>750</v>
      </c>
      <c r="J737" s="946"/>
    </row>
    <row r="738" spans="1:10" ht="15" customHeight="1">
      <c r="A738" s="1507"/>
      <c r="B738" s="1509"/>
      <c r="C738" s="1511"/>
      <c r="D738" s="1513"/>
      <c r="E738" s="963" t="s">
        <v>366</v>
      </c>
      <c r="F738" s="964">
        <f t="shared" si="33"/>
        <v>59160</v>
      </c>
      <c r="G738" s="964"/>
      <c r="H738" s="964">
        <v>59160</v>
      </c>
      <c r="I738" s="964"/>
      <c r="J738" s="946"/>
    </row>
    <row r="739" spans="1:10" ht="15" customHeight="1">
      <c r="A739" s="1507"/>
      <c r="B739" s="1509"/>
      <c r="C739" s="1511"/>
      <c r="D739" s="1513"/>
      <c r="E739" s="963" t="s">
        <v>304</v>
      </c>
      <c r="F739" s="964">
        <f t="shared" si="33"/>
        <v>10440</v>
      </c>
      <c r="G739" s="964"/>
      <c r="H739" s="964"/>
      <c r="I739" s="964">
        <v>10440</v>
      </c>
      <c r="J739" s="946"/>
    </row>
    <row r="740" spans="1:10" ht="15" hidden="1" customHeight="1">
      <c r="A740" s="1507"/>
      <c r="B740" s="1509"/>
      <c r="C740" s="1511"/>
      <c r="D740" s="1513"/>
      <c r="E740" s="963" t="s">
        <v>461</v>
      </c>
      <c r="F740" s="964">
        <f t="shared" si="33"/>
        <v>0</v>
      </c>
      <c r="G740" s="964"/>
      <c r="H740" s="964"/>
      <c r="I740" s="964"/>
      <c r="J740" s="946"/>
    </row>
    <row r="741" spans="1:10" ht="15" hidden="1" customHeight="1">
      <c r="A741" s="1507"/>
      <c r="B741" s="1509"/>
      <c r="C741" s="1511"/>
      <c r="D741" s="1513"/>
      <c r="E741" s="963" t="s">
        <v>447</v>
      </c>
      <c r="F741" s="964">
        <f t="shared" si="33"/>
        <v>0</v>
      </c>
      <c r="G741" s="964"/>
      <c r="H741" s="964"/>
      <c r="I741" s="964"/>
      <c r="J741" s="946"/>
    </row>
    <row r="742" spans="1:10" ht="24.95" customHeight="1">
      <c r="A742" s="1508"/>
      <c r="B742" s="1510"/>
      <c r="C742" s="1512"/>
      <c r="D742" s="1514"/>
      <c r="E742" s="966" t="s">
        <v>939</v>
      </c>
      <c r="F742" s="958">
        <f>SUM(F743:F744)</f>
        <v>0</v>
      </c>
      <c r="G742" s="958">
        <f>SUM(G743:G744)</f>
        <v>0</v>
      </c>
      <c r="H742" s="958">
        <f>SUM(H743:H744)</f>
        <v>0</v>
      </c>
      <c r="I742" s="958">
        <f>SUM(I743:I744)</f>
        <v>0</v>
      </c>
      <c r="J742" s="942">
        <f>SUM(J743:J744)</f>
        <v>0</v>
      </c>
    </row>
    <row r="743" spans="1:10" ht="15" hidden="1" customHeight="1">
      <c r="A743" s="967"/>
      <c r="B743" s="968"/>
      <c r="C743" s="969"/>
      <c r="D743" s="970"/>
      <c r="E743" s="982"/>
      <c r="F743" s="964">
        <f>SUM(G743:J743)</f>
        <v>0</v>
      </c>
      <c r="G743" s="964"/>
      <c r="H743" s="964"/>
      <c r="I743" s="964"/>
      <c r="J743" s="946"/>
    </row>
    <row r="744" spans="1:10" ht="15" hidden="1" customHeight="1">
      <c r="A744" s="971"/>
      <c r="B744" s="972"/>
      <c r="C744" s="973"/>
      <c r="D744" s="974"/>
      <c r="E744" s="975"/>
      <c r="F744" s="964">
        <f>SUM(G744:J744)</f>
        <v>0</v>
      </c>
      <c r="G744" s="964"/>
      <c r="H744" s="964"/>
      <c r="I744" s="964"/>
      <c r="J744" s="946"/>
    </row>
    <row r="745" spans="1:10" ht="21.95" customHeight="1">
      <c r="A745" s="1499" t="s">
        <v>948</v>
      </c>
      <c r="B745" s="1500" t="s">
        <v>1013</v>
      </c>
      <c r="C745" s="1501">
        <v>801</v>
      </c>
      <c r="D745" s="1502" t="s">
        <v>521</v>
      </c>
      <c r="E745" s="954" t="s">
        <v>937</v>
      </c>
      <c r="F745" s="955">
        <f>SUM(F746,F759)</f>
        <v>56045</v>
      </c>
      <c r="G745" s="955">
        <f>SUM(G746,G759)</f>
        <v>0</v>
      </c>
      <c r="H745" s="955">
        <f>SUM(H746,H759)</f>
        <v>47638</v>
      </c>
      <c r="I745" s="955">
        <f>SUM(I746,I759)</f>
        <v>8407</v>
      </c>
      <c r="J745" s="937">
        <f>SUM(J746,J759)</f>
        <v>0</v>
      </c>
    </row>
    <row r="746" spans="1:10" ht="21.95" customHeight="1">
      <c r="A746" s="1499"/>
      <c r="B746" s="1500"/>
      <c r="C746" s="1501"/>
      <c r="D746" s="1502"/>
      <c r="E746" s="957" t="s">
        <v>943</v>
      </c>
      <c r="F746" s="958">
        <f>SUM(F747,F756)</f>
        <v>56045</v>
      </c>
      <c r="G746" s="958">
        <f>SUM(G747,G756)</f>
        <v>0</v>
      </c>
      <c r="H746" s="958">
        <f>SUM(H747,H756)</f>
        <v>47638</v>
      </c>
      <c r="I746" s="958">
        <f>SUM(I747,I756)</f>
        <v>8407</v>
      </c>
      <c r="J746" s="942">
        <f>SUM(J747,J756)</f>
        <v>0</v>
      </c>
    </row>
    <row r="747" spans="1:10" ht="21.95" customHeight="1">
      <c r="A747" s="1499"/>
      <c r="B747" s="1500"/>
      <c r="C747" s="1501"/>
      <c r="D747" s="1502"/>
      <c r="E747" s="960" t="s">
        <v>944</v>
      </c>
      <c r="F747" s="961">
        <f>SUM(F748:F755)</f>
        <v>56045</v>
      </c>
      <c r="G747" s="961">
        <f>SUM(G748:G755)</f>
        <v>0</v>
      </c>
      <c r="H747" s="961">
        <f>SUM(H748:H755)</f>
        <v>47638</v>
      </c>
      <c r="I747" s="961">
        <f>SUM(I748:I755)</f>
        <v>8407</v>
      </c>
      <c r="J747" s="951">
        <f>SUM(J748:J755)</f>
        <v>0</v>
      </c>
    </row>
    <row r="748" spans="1:10" ht="15" customHeight="1">
      <c r="A748" s="1499"/>
      <c r="B748" s="1500"/>
      <c r="C748" s="1501"/>
      <c r="D748" s="1502"/>
      <c r="E748" s="963" t="s">
        <v>362</v>
      </c>
      <c r="F748" s="964">
        <f>SUM(G748:J748)</f>
        <v>11094</v>
      </c>
      <c r="G748" s="964"/>
      <c r="H748" s="964">
        <v>11094</v>
      </c>
      <c r="I748" s="964"/>
      <c r="J748" s="946"/>
    </row>
    <row r="749" spans="1:10" ht="15" customHeight="1">
      <c r="A749" s="1499"/>
      <c r="B749" s="1500"/>
      <c r="C749" s="1501"/>
      <c r="D749" s="1502"/>
      <c r="E749" s="963" t="s">
        <v>292</v>
      </c>
      <c r="F749" s="964">
        <f>SUM(G749:J749)</f>
        <v>1958</v>
      </c>
      <c r="G749" s="964"/>
      <c r="H749" s="964"/>
      <c r="I749" s="964">
        <v>1958</v>
      </c>
      <c r="J749" s="946"/>
    </row>
    <row r="750" spans="1:10" ht="15" customHeight="1">
      <c r="A750" s="1499"/>
      <c r="B750" s="1500"/>
      <c r="C750" s="1501"/>
      <c r="D750" s="1502"/>
      <c r="E750" s="963" t="s">
        <v>363</v>
      </c>
      <c r="F750" s="964">
        <f t="shared" ref="F750:F752" si="34">SUM(G750:J750)</f>
        <v>1907</v>
      </c>
      <c r="G750" s="964"/>
      <c r="H750" s="964">
        <v>1907</v>
      </c>
      <c r="I750" s="964"/>
      <c r="J750" s="946"/>
    </row>
    <row r="751" spans="1:10" ht="15" customHeight="1">
      <c r="A751" s="1499"/>
      <c r="B751" s="1500"/>
      <c r="C751" s="1501"/>
      <c r="D751" s="1502"/>
      <c r="E751" s="963" t="s">
        <v>296</v>
      </c>
      <c r="F751" s="964">
        <f t="shared" si="34"/>
        <v>337</v>
      </c>
      <c r="G751" s="964"/>
      <c r="H751" s="964"/>
      <c r="I751" s="964">
        <v>337</v>
      </c>
      <c r="J751" s="946"/>
    </row>
    <row r="752" spans="1:10" ht="15" customHeight="1">
      <c r="A752" s="1499"/>
      <c r="B752" s="1500"/>
      <c r="C752" s="1501"/>
      <c r="D752" s="1502"/>
      <c r="E752" s="963" t="s">
        <v>364</v>
      </c>
      <c r="F752" s="964">
        <f t="shared" si="34"/>
        <v>272</v>
      </c>
      <c r="G752" s="964"/>
      <c r="H752" s="964">
        <v>272</v>
      </c>
      <c r="I752" s="964"/>
      <c r="J752" s="946"/>
    </row>
    <row r="753" spans="1:10" ht="15" customHeight="1">
      <c r="A753" s="1499"/>
      <c r="B753" s="1500"/>
      <c r="C753" s="1501"/>
      <c r="D753" s="1502"/>
      <c r="E753" s="963" t="s">
        <v>298</v>
      </c>
      <c r="F753" s="964">
        <f>SUM(G753:J753)</f>
        <v>48</v>
      </c>
      <c r="G753" s="964"/>
      <c r="H753" s="964"/>
      <c r="I753" s="964">
        <v>48</v>
      </c>
      <c r="J753" s="946"/>
    </row>
    <row r="754" spans="1:10" ht="15" customHeight="1">
      <c r="A754" s="1499"/>
      <c r="B754" s="1500"/>
      <c r="C754" s="1501"/>
      <c r="D754" s="1502"/>
      <c r="E754" s="963" t="s">
        <v>460</v>
      </c>
      <c r="F754" s="964">
        <f>SUM(G754:J754)</f>
        <v>34365</v>
      </c>
      <c r="G754" s="964"/>
      <c r="H754" s="964">
        <v>34365</v>
      </c>
      <c r="I754" s="964"/>
      <c r="J754" s="946"/>
    </row>
    <row r="755" spans="1:10" ht="15" customHeight="1">
      <c r="A755" s="1499"/>
      <c r="B755" s="1500"/>
      <c r="C755" s="1501"/>
      <c r="D755" s="1502"/>
      <c r="E755" s="963" t="s">
        <v>300</v>
      </c>
      <c r="F755" s="964">
        <f>SUM(G755:J755)</f>
        <v>6064</v>
      </c>
      <c r="G755" s="964"/>
      <c r="H755" s="964"/>
      <c r="I755" s="964">
        <v>6064</v>
      </c>
      <c r="J755" s="946"/>
    </row>
    <row r="756" spans="1:10" ht="24.95" hidden="1" customHeight="1">
      <c r="A756" s="1499"/>
      <c r="B756" s="1500"/>
      <c r="C756" s="1501"/>
      <c r="D756" s="1502"/>
      <c r="E756" s="960" t="s">
        <v>945</v>
      </c>
      <c r="F756" s="961">
        <f>SUM(F757:F758)</f>
        <v>0</v>
      </c>
      <c r="G756" s="961">
        <f>SUM(G757:G758)</f>
        <v>0</v>
      </c>
      <c r="H756" s="961">
        <f>SUM(H757:H758)</f>
        <v>0</v>
      </c>
      <c r="I756" s="961">
        <f>SUM(I757:I758)</f>
        <v>0</v>
      </c>
      <c r="J756" s="951">
        <f>SUM(J757:J758)</f>
        <v>0</v>
      </c>
    </row>
    <row r="757" spans="1:10" ht="15" hidden="1" customHeight="1">
      <c r="A757" s="1499"/>
      <c r="B757" s="1500"/>
      <c r="C757" s="1501"/>
      <c r="D757" s="1502"/>
      <c r="E757" s="963"/>
      <c r="F757" s="964">
        <f t="shared" ref="F757:F758" si="35">SUM(G757:J757)</f>
        <v>0</v>
      </c>
      <c r="G757" s="964"/>
      <c r="H757" s="964"/>
      <c r="I757" s="964"/>
      <c r="J757" s="946"/>
    </row>
    <row r="758" spans="1:10" ht="15" hidden="1" customHeight="1">
      <c r="A758" s="1499"/>
      <c r="B758" s="1500"/>
      <c r="C758" s="1501"/>
      <c r="D758" s="1502"/>
      <c r="E758" s="963"/>
      <c r="F758" s="964">
        <f t="shared" si="35"/>
        <v>0</v>
      </c>
      <c r="G758" s="964"/>
      <c r="H758" s="964"/>
      <c r="I758" s="964"/>
      <c r="J758" s="946"/>
    </row>
    <row r="759" spans="1:10" ht="21.95" customHeight="1">
      <c r="A759" s="1499"/>
      <c r="B759" s="1500"/>
      <c r="C759" s="1501"/>
      <c r="D759" s="1502"/>
      <c r="E759" s="966" t="s">
        <v>939</v>
      </c>
      <c r="F759" s="958">
        <f>SUM(F760:F761)</f>
        <v>0</v>
      </c>
      <c r="G759" s="958">
        <f>SUM(G760:G761)</f>
        <v>0</v>
      </c>
      <c r="H759" s="958">
        <f>SUM(H760:H761)</f>
        <v>0</v>
      </c>
      <c r="I759" s="958">
        <f>SUM(I760:I761)</f>
        <v>0</v>
      </c>
      <c r="J759" s="942">
        <f>SUM(J760:J761)</f>
        <v>0</v>
      </c>
    </row>
    <row r="760" spans="1:10" ht="15" hidden="1" customHeight="1">
      <c r="A760" s="1499"/>
      <c r="B760" s="1500"/>
      <c r="C760" s="1501"/>
      <c r="D760" s="1502"/>
      <c r="E760" s="963"/>
      <c r="F760" s="964">
        <f>SUM(G760:J760)</f>
        <v>0</v>
      </c>
      <c r="G760" s="964"/>
      <c r="H760" s="964"/>
      <c r="I760" s="964"/>
      <c r="J760" s="946"/>
    </row>
    <row r="761" spans="1:10" ht="15" hidden="1" customHeight="1">
      <c r="A761" s="1499"/>
      <c r="B761" s="1500"/>
      <c r="C761" s="1501"/>
      <c r="D761" s="1502"/>
      <c r="E761" s="975"/>
      <c r="F761" s="964">
        <f>SUM(G761:J761)</f>
        <v>0</v>
      </c>
      <c r="G761" s="964"/>
      <c r="H761" s="964"/>
      <c r="I761" s="964"/>
      <c r="J761" s="946"/>
    </row>
    <row r="762" spans="1:10" ht="24.95" hidden="1" customHeight="1">
      <c r="A762" s="1499"/>
      <c r="B762" s="1500" t="s">
        <v>1014</v>
      </c>
      <c r="C762" s="1501">
        <v>801</v>
      </c>
      <c r="D762" s="1502" t="s">
        <v>531</v>
      </c>
      <c r="E762" s="954" t="s">
        <v>937</v>
      </c>
      <c r="F762" s="955">
        <f>SUM(F763,F768)</f>
        <v>0</v>
      </c>
      <c r="G762" s="955">
        <f>SUM(G763,G768)</f>
        <v>0</v>
      </c>
      <c r="H762" s="955">
        <f>SUM(H763,H768)</f>
        <v>0</v>
      </c>
      <c r="I762" s="955">
        <f>SUM(I763,I768)</f>
        <v>0</v>
      </c>
      <c r="J762" s="937">
        <f>SUM(J763,J768)</f>
        <v>0</v>
      </c>
    </row>
    <row r="763" spans="1:10" ht="24.95" hidden="1" customHeight="1">
      <c r="A763" s="1499"/>
      <c r="B763" s="1500"/>
      <c r="C763" s="1501"/>
      <c r="D763" s="1502"/>
      <c r="E763" s="957" t="s">
        <v>943</v>
      </c>
      <c r="F763" s="958">
        <f>SUM(F764,F766)</f>
        <v>0</v>
      </c>
      <c r="G763" s="958">
        <f>SUM(G764,G766)</f>
        <v>0</v>
      </c>
      <c r="H763" s="958">
        <f>SUM(H764,H766)</f>
        <v>0</v>
      </c>
      <c r="I763" s="958">
        <f>SUM(I764,I766)</f>
        <v>0</v>
      </c>
      <c r="J763" s="942">
        <f>SUM(J764,J766)</f>
        <v>0</v>
      </c>
    </row>
    <row r="764" spans="1:10" ht="24.95" hidden="1" customHeight="1">
      <c r="A764" s="1499"/>
      <c r="B764" s="1500"/>
      <c r="C764" s="1501"/>
      <c r="D764" s="1502"/>
      <c r="E764" s="960" t="s">
        <v>944</v>
      </c>
      <c r="F764" s="961">
        <f>SUM(F765:F765)</f>
        <v>0</v>
      </c>
      <c r="G764" s="961">
        <f>SUM(G765:G765)</f>
        <v>0</v>
      </c>
      <c r="H764" s="961">
        <f>SUM(H765:H765)</f>
        <v>0</v>
      </c>
      <c r="I764" s="961">
        <f>SUM(I765:I765)</f>
        <v>0</v>
      </c>
      <c r="J764" s="951">
        <f>SUM(J765:J765)</f>
        <v>0</v>
      </c>
    </row>
    <row r="765" spans="1:10" ht="24.95" hidden="1" customHeight="1">
      <c r="A765" s="1499"/>
      <c r="B765" s="1500"/>
      <c r="C765" s="1501"/>
      <c r="D765" s="1502"/>
      <c r="E765" s="963"/>
      <c r="F765" s="964">
        <f>SUM(G765:J765)</f>
        <v>0</v>
      </c>
      <c r="G765" s="964"/>
      <c r="H765" s="964"/>
      <c r="I765" s="964"/>
      <c r="J765" s="946"/>
    </row>
    <row r="766" spans="1:10" ht="24.95" hidden="1" customHeight="1">
      <c r="A766" s="1499"/>
      <c r="B766" s="1500"/>
      <c r="C766" s="1501"/>
      <c r="D766" s="1502"/>
      <c r="E766" s="960" t="s">
        <v>945</v>
      </c>
      <c r="F766" s="961">
        <f>SUM(F767:F767)</f>
        <v>0</v>
      </c>
      <c r="G766" s="961">
        <f>SUM(G767:G767)</f>
        <v>0</v>
      </c>
      <c r="H766" s="961">
        <f>SUM(H767:H767)</f>
        <v>0</v>
      </c>
      <c r="I766" s="961">
        <f>SUM(I767:I767)</f>
        <v>0</v>
      </c>
      <c r="J766" s="951">
        <f>SUM(J767:J767)</f>
        <v>0</v>
      </c>
    </row>
    <row r="767" spans="1:10" ht="24.95" hidden="1" customHeight="1">
      <c r="A767" s="1499"/>
      <c r="B767" s="1500"/>
      <c r="C767" s="1501"/>
      <c r="D767" s="1502"/>
      <c r="E767" s="963"/>
      <c r="F767" s="964">
        <f>SUM(G767:J767)</f>
        <v>0</v>
      </c>
      <c r="G767" s="964"/>
      <c r="H767" s="964"/>
      <c r="I767" s="964"/>
      <c r="J767" s="946"/>
    </row>
    <row r="768" spans="1:10" ht="24.95" hidden="1" customHeight="1">
      <c r="A768" s="1499"/>
      <c r="B768" s="1500"/>
      <c r="C768" s="1501"/>
      <c r="D768" s="1502"/>
      <c r="E768" s="966" t="s">
        <v>939</v>
      </c>
      <c r="F768" s="958">
        <f>SUM(F769:F769)</f>
        <v>0</v>
      </c>
      <c r="G768" s="958">
        <f>SUM(G769:G769)</f>
        <v>0</v>
      </c>
      <c r="H768" s="958">
        <f>SUM(H769:H769)</f>
        <v>0</v>
      </c>
      <c r="I768" s="958">
        <f>SUM(I769:I769)</f>
        <v>0</v>
      </c>
      <c r="J768" s="942">
        <f>SUM(J769:J769)</f>
        <v>0</v>
      </c>
    </row>
    <row r="769" spans="1:10" ht="24.95" hidden="1" customHeight="1">
      <c r="A769" s="1499"/>
      <c r="B769" s="1500"/>
      <c r="C769" s="1501"/>
      <c r="D769" s="1502"/>
      <c r="E769" s="992"/>
      <c r="F769" s="993"/>
      <c r="G769" s="993"/>
      <c r="H769" s="993"/>
      <c r="I769" s="993"/>
      <c r="J769" s="994"/>
    </row>
    <row r="770" spans="1:10" ht="21.95" customHeight="1">
      <c r="A770" s="1499" t="s">
        <v>950</v>
      </c>
      <c r="B770" s="1500" t="s">
        <v>1015</v>
      </c>
      <c r="C770" s="1501">
        <v>801</v>
      </c>
      <c r="D770" s="1502" t="s">
        <v>521</v>
      </c>
      <c r="E770" s="954" t="s">
        <v>937</v>
      </c>
      <c r="F770" s="955">
        <f>SUM(F771,F797)</f>
        <v>129560</v>
      </c>
      <c r="G770" s="955">
        <f>SUM(G771,G797)</f>
        <v>0</v>
      </c>
      <c r="H770" s="955">
        <f>SUM(H771,H797)</f>
        <v>126020</v>
      </c>
      <c r="I770" s="955">
        <f>SUM(I771,I797)</f>
        <v>3540</v>
      </c>
      <c r="J770" s="937">
        <f>SUM(J771,J797)</f>
        <v>0</v>
      </c>
    </row>
    <row r="771" spans="1:10" ht="21.95" customHeight="1">
      <c r="A771" s="1499"/>
      <c r="B771" s="1500"/>
      <c r="C771" s="1501"/>
      <c r="D771" s="1502"/>
      <c r="E771" s="957" t="s">
        <v>943</v>
      </c>
      <c r="F771" s="958">
        <f>SUM(F772,F775,F786)</f>
        <v>129560</v>
      </c>
      <c r="G771" s="958">
        <f>SUM(G772,G775,G786)</f>
        <v>0</v>
      </c>
      <c r="H771" s="958">
        <f>SUM(H772,H775,H786)</f>
        <v>126020</v>
      </c>
      <c r="I771" s="958">
        <f>SUM(I772,I775,I786)</f>
        <v>3540</v>
      </c>
      <c r="J771" s="942">
        <f>SUM(J772,J775,J786)</f>
        <v>0</v>
      </c>
    </row>
    <row r="772" spans="1:10" ht="21.95" customHeight="1">
      <c r="A772" s="1499"/>
      <c r="B772" s="1500"/>
      <c r="C772" s="1501"/>
      <c r="D772" s="1502"/>
      <c r="E772" s="960" t="s">
        <v>964</v>
      </c>
      <c r="F772" s="961">
        <f>SUM(F773:F774)</f>
        <v>78306</v>
      </c>
      <c r="G772" s="961">
        <f>SUM(G773:G774)</f>
        <v>0</v>
      </c>
      <c r="H772" s="961">
        <f>SUM(H773:H774)</f>
        <v>75134</v>
      </c>
      <c r="I772" s="961">
        <f>SUM(I773:I774)</f>
        <v>3172</v>
      </c>
      <c r="J772" s="951">
        <f>SUM(J773:J774)</f>
        <v>0</v>
      </c>
    </row>
    <row r="773" spans="1:10" ht="15" customHeight="1">
      <c r="A773" s="1499"/>
      <c r="B773" s="1500"/>
      <c r="C773" s="1501"/>
      <c r="D773" s="1502"/>
      <c r="E773" s="976" t="s">
        <v>422</v>
      </c>
      <c r="F773" s="964">
        <f>SUM(G773:J773)</f>
        <v>75134</v>
      </c>
      <c r="G773" s="964"/>
      <c r="H773" s="964">
        <v>75134</v>
      </c>
      <c r="I773" s="964"/>
      <c r="J773" s="946"/>
    </row>
    <row r="774" spans="1:10" ht="15" customHeight="1">
      <c r="A774" s="1499"/>
      <c r="B774" s="1500"/>
      <c r="C774" s="1501"/>
      <c r="D774" s="1502"/>
      <c r="E774" s="976" t="s">
        <v>348</v>
      </c>
      <c r="F774" s="964">
        <f>SUM(G774:J774)</f>
        <v>3172</v>
      </c>
      <c r="G774" s="964"/>
      <c r="H774" s="964"/>
      <c r="I774" s="964">
        <v>3172</v>
      </c>
      <c r="J774" s="946"/>
    </row>
    <row r="775" spans="1:10" ht="24.95" customHeight="1">
      <c r="A775" s="1499"/>
      <c r="B775" s="1500"/>
      <c r="C775" s="1501"/>
      <c r="D775" s="1502"/>
      <c r="E775" s="960" t="s">
        <v>944</v>
      </c>
      <c r="F775" s="961">
        <f>SUM(F776:F785)</f>
        <v>38625</v>
      </c>
      <c r="G775" s="961">
        <f>SUM(G776:G785)</f>
        <v>0</v>
      </c>
      <c r="H775" s="961">
        <f>SUM(H776:H785)</f>
        <v>38559</v>
      </c>
      <c r="I775" s="961">
        <f>SUM(I776:I785)</f>
        <v>66</v>
      </c>
      <c r="J775" s="951">
        <f>SUM(J776:J785)</f>
        <v>0</v>
      </c>
    </row>
    <row r="776" spans="1:10" ht="15" customHeight="1">
      <c r="A776" s="1499"/>
      <c r="B776" s="1500"/>
      <c r="C776" s="1501"/>
      <c r="D776" s="1502"/>
      <c r="E776" s="963" t="s">
        <v>362</v>
      </c>
      <c r="F776" s="964">
        <f t="shared" ref="F776:F785" si="36">SUM(G776:J776)</f>
        <v>15145</v>
      </c>
      <c r="G776" s="964"/>
      <c r="H776" s="964">
        <v>15145</v>
      </c>
      <c r="I776" s="964"/>
      <c r="J776" s="946"/>
    </row>
    <row r="777" spans="1:10" ht="15" customHeight="1">
      <c r="A777" s="1499"/>
      <c r="B777" s="1500"/>
      <c r="C777" s="1501"/>
      <c r="D777" s="1502"/>
      <c r="E777" s="963" t="s">
        <v>292</v>
      </c>
      <c r="F777" s="964">
        <f t="shared" si="36"/>
        <v>19</v>
      </c>
      <c r="G777" s="964"/>
      <c r="H777" s="964"/>
      <c r="I777" s="964">
        <v>19</v>
      </c>
      <c r="J777" s="946"/>
    </row>
    <row r="778" spans="1:10" ht="15" customHeight="1">
      <c r="A778" s="1499"/>
      <c r="B778" s="1500"/>
      <c r="C778" s="1501"/>
      <c r="D778" s="1502"/>
      <c r="E778" s="963" t="s">
        <v>423</v>
      </c>
      <c r="F778" s="964">
        <f t="shared" si="36"/>
        <v>17105</v>
      </c>
      <c r="G778" s="964"/>
      <c r="H778" s="964">
        <v>17105</v>
      </c>
      <c r="I778" s="964"/>
      <c r="J778" s="946"/>
    </row>
    <row r="779" spans="1:10" ht="15" customHeight="1">
      <c r="A779" s="1499"/>
      <c r="B779" s="1500"/>
      <c r="C779" s="1501"/>
      <c r="D779" s="1502"/>
      <c r="E779" s="963" t="s">
        <v>294</v>
      </c>
      <c r="F779" s="964">
        <f t="shared" si="36"/>
        <v>15</v>
      </c>
      <c r="G779" s="964"/>
      <c r="H779" s="964"/>
      <c r="I779" s="964">
        <v>15</v>
      </c>
      <c r="J779" s="946"/>
    </row>
    <row r="780" spans="1:10" ht="15" customHeight="1">
      <c r="A780" s="1499"/>
      <c r="B780" s="1500"/>
      <c r="C780" s="1501"/>
      <c r="D780" s="1502"/>
      <c r="E780" s="963" t="s">
        <v>363</v>
      </c>
      <c r="F780" s="964">
        <f t="shared" si="36"/>
        <v>5537</v>
      </c>
      <c r="G780" s="964"/>
      <c r="H780" s="964">
        <v>5537</v>
      </c>
      <c r="I780" s="964"/>
      <c r="J780" s="946"/>
    </row>
    <row r="781" spans="1:10" ht="15" customHeight="1">
      <c r="A781" s="1499"/>
      <c r="B781" s="1500"/>
      <c r="C781" s="1501"/>
      <c r="D781" s="1502"/>
      <c r="E781" s="963" t="s">
        <v>296</v>
      </c>
      <c r="F781" s="964">
        <f t="shared" si="36"/>
        <v>13</v>
      </c>
      <c r="G781" s="964"/>
      <c r="H781" s="964"/>
      <c r="I781" s="964">
        <v>13</v>
      </c>
      <c r="J781" s="946"/>
    </row>
    <row r="782" spans="1:10" ht="15" customHeight="1">
      <c r="A782" s="1499"/>
      <c r="B782" s="1500"/>
      <c r="C782" s="1501"/>
      <c r="D782" s="1502"/>
      <c r="E782" s="963" t="s">
        <v>364</v>
      </c>
      <c r="F782" s="964">
        <f t="shared" si="36"/>
        <v>772</v>
      </c>
      <c r="G782" s="964"/>
      <c r="H782" s="964">
        <v>772</v>
      </c>
      <c r="I782" s="964"/>
      <c r="J782" s="946"/>
    </row>
    <row r="783" spans="1:10" ht="15" customHeight="1">
      <c r="A783" s="1499"/>
      <c r="B783" s="1500"/>
      <c r="C783" s="1501"/>
      <c r="D783" s="1502"/>
      <c r="E783" s="963" t="s">
        <v>298</v>
      </c>
      <c r="F783" s="964">
        <f t="shared" si="36"/>
        <v>19</v>
      </c>
      <c r="G783" s="964"/>
      <c r="H783" s="964"/>
      <c r="I783" s="964">
        <v>19</v>
      </c>
      <c r="J783" s="946"/>
    </row>
    <row r="784" spans="1:10" ht="15" hidden="1" customHeight="1">
      <c r="A784" s="1499"/>
      <c r="B784" s="1500"/>
      <c r="C784" s="1501"/>
      <c r="D784" s="1502"/>
      <c r="E784" s="963" t="s">
        <v>460</v>
      </c>
      <c r="F784" s="964">
        <f t="shared" si="36"/>
        <v>0</v>
      </c>
      <c r="G784" s="964"/>
      <c r="H784" s="964"/>
      <c r="I784" s="964"/>
      <c r="J784" s="946"/>
    </row>
    <row r="785" spans="1:10" ht="15" hidden="1" customHeight="1">
      <c r="A785" s="1499"/>
      <c r="B785" s="1500"/>
      <c r="C785" s="1501"/>
      <c r="D785" s="1502"/>
      <c r="E785" s="963" t="s">
        <v>300</v>
      </c>
      <c r="F785" s="964">
        <f t="shared" si="36"/>
        <v>0</v>
      </c>
      <c r="G785" s="964"/>
      <c r="H785" s="964"/>
      <c r="I785" s="964"/>
      <c r="J785" s="946"/>
    </row>
    <row r="786" spans="1:10" ht="24.95" customHeight="1">
      <c r="A786" s="1499"/>
      <c r="B786" s="1500"/>
      <c r="C786" s="1501"/>
      <c r="D786" s="1502"/>
      <c r="E786" s="960" t="s">
        <v>945</v>
      </c>
      <c r="F786" s="961">
        <f>SUM(F787:F796)</f>
        <v>12629</v>
      </c>
      <c r="G786" s="961">
        <f>SUM(G787:G796)</f>
        <v>0</v>
      </c>
      <c r="H786" s="961">
        <f>SUM(H787:H796)</f>
        <v>12327</v>
      </c>
      <c r="I786" s="961">
        <f>SUM(I787:I796)</f>
        <v>302</v>
      </c>
      <c r="J786" s="951">
        <f>SUM(J787:J796)</f>
        <v>0</v>
      </c>
    </row>
    <row r="787" spans="1:10" s="939" customFormat="1" ht="15" hidden="1" customHeight="1">
      <c r="A787" s="1499"/>
      <c r="B787" s="1500"/>
      <c r="C787" s="1501"/>
      <c r="D787" s="1502"/>
      <c r="E787" s="976" t="s">
        <v>523</v>
      </c>
      <c r="F787" s="964">
        <f t="shared" ref="F787:F796" si="37">SUM(G787:J787)</f>
        <v>0</v>
      </c>
      <c r="G787" s="964"/>
      <c r="H787" s="964"/>
      <c r="I787" s="964"/>
      <c r="J787" s="946"/>
    </row>
    <row r="788" spans="1:10" s="939" customFormat="1" ht="15" hidden="1" customHeight="1">
      <c r="A788" s="1499"/>
      <c r="B788" s="1500"/>
      <c r="C788" s="1501"/>
      <c r="D788" s="1502"/>
      <c r="E788" s="976" t="s">
        <v>524</v>
      </c>
      <c r="F788" s="964">
        <f t="shared" si="37"/>
        <v>0</v>
      </c>
      <c r="G788" s="964"/>
      <c r="H788" s="964"/>
      <c r="I788" s="964"/>
      <c r="J788" s="946"/>
    </row>
    <row r="789" spans="1:10" ht="15" customHeight="1">
      <c r="A789" s="1499"/>
      <c r="B789" s="1500"/>
      <c r="C789" s="1501"/>
      <c r="D789" s="1502"/>
      <c r="E789" s="963" t="s">
        <v>365</v>
      </c>
      <c r="F789" s="964">
        <f t="shared" si="37"/>
        <v>664</v>
      </c>
      <c r="G789" s="964"/>
      <c r="H789" s="964">
        <v>664</v>
      </c>
      <c r="I789" s="964"/>
      <c r="J789" s="946"/>
    </row>
    <row r="790" spans="1:10" ht="15" customHeight="1">
      <c r="A790" s="1499"/>
      <c r="B790" s="1500"/>
      <c r="C790" s="1501"/>
      <c r="D790" s="1502"/>
      <c r="E790" s="963" t="s">
        <v>302</v>
      </c>
      <c r="F790" s="964">
        <f t="shared" si="37"/>
        <v>16</v>
      </c>
      <c r="G790" s="964"/>
      <c r="H790" s="964"/>
      <c r="I790" s="964">
        <v>16</v>
      </c>
      <c r="J790" s="946"/>
    </row>
    <row r="791" spans="1:10" ht="15" customHeight="1">
      <c r="A791" s="1499"/>
      <c r="B791" s="1500"/>
      <c r="C791" s="1501"/>
      <c r="D791" s="1502"/>
      <c r="E791" s="963" t="s">
        <v>366</v>
      </c>
      <c r="F791" s="964">
        <f t="shared" si="37"/>
        <v>10593</v>
      </c>
      <c r="G791" s="964"/>
      <c r="H791" s="964">
        <v>10593</v>
      </c>
      <c r="I791" s="964"/>
      <c r="J791" s="946"/>
    </row>
    <row r="792" spans="1:10" ht="15" customHeight="1">
      <c r="A792" s="1499"/>
      <c r="B792" s="1500"/>
      <c r="C792" s="1501"/>
      <c r="D792" s="1502"/>
      <c r="E792" s="963" t="s">
        <v>304</v>
      </c>
      <c r="F792" s="964">
        <f t="shared" si="37"/>
        <v>259</v>
      </c>
      <c r="G792" s="964"/>
      <c r="H792" s="964"/>
      <c r="I792" s="964">
        <v>259</v>
      </c>
      <c r="J792" s="946"/>
    </row>
    <row r="793" spans="1:10" ht="15" customHeight="1">
      <c r="A793" s="1499"/>
      <c r="B793" s="1500"/>
      <c r="C793" s="1501"/>
      <c r="D793" s="1502"/>
      <c r="E793" s="963" t="s">
        <v>392</v>
      </c>
      <c r="F793" s="964">
        <f t="shared" si="37"/>
        <v>629</v>
      </c>
      <c r="G793" s="964"/>
      <c r="H793" s="964">
        <v>629</v>
      </c>
      <c r="I793" s="964"/>
      <c r="J793" s="946"/>
    </row>
    <row r="794" spans="1:10" ht="15" customHeight="1">
      <c r="A794" s="1499"/>
      <c r="B794" s="1500"/>
      <c r="C794" s="1501"/>
      <c r="D794" s="1502"/>
      <c r="E794" s="963" t="s">
        <v>310</v>
      </c>
      <c r="F794" s="964">
        <f t="shared" si="37"/>
        <v>15</v>
      </c>
      <c r="G794" s="964"/>
      <c r="H794" s="964"/>
      <c r="I794" s="964">
        <v>15</v>
      </c>
      <c r="J794" s="946"/>
    </row>
    <row r="795" spans="1:10" ht="15" customHeight="1">
      <c r="A795" s="1499"/>
      <c r="B795" s="1500"/>
      <c r="C795" s="1501"/>
      <c r="D795" s="1502"/>
      <c r="E795" s="963" t="s">
        <v>428</v>
      </c>
      <c r="F795" s="964">
        <f t="shared" si="37"/>
        <v>441</v>
      </c>
      <c r="G795" s="964"/>
      <c r="H795" s="964">
        <v>441</v>
      </c>
      <c r="I795" s="964"/>
      <c r="J795" s="946"/>
    </row>
    <row r="796" spans="1:10" ht="15" customHeight="1">
      <c r="A796" s="1499"/>
      <c r="B796" s="1500"/>
      <c r="C796" s="1501"/>
      <c r="D796" s="1502"/>
      <c r="E796" s="963" t="s">
        <v>429</v>
      </c>
      <c r="F796" s="964">
        <f t="shared" si="37"/>
        <v>12</v>
      </c>
      <c r="G796" s="964"/>
      <c r="H796" s="964"/>
      <c r="I796" s="964">
        <v>12</v>
      </c>
      <c r="J796" s="946"/>
    </row>
    <row r="797" spans="1:10" ht="21.95" customHeight="1" thickBot="1">
      <c r="A797" s="1499"/>
      <c r="B797" s="1500"/>
      <c r="C797" s="1501"/>
      <c r="D797" s="1502"/>
      <c r="E797" s="966" t="s">
        <v>939</v>
      </c>
      <c r="F797" s="958">
        <f>SUM(F798:F799)</f>
        <v>0</v>
      </c>
      <c r="G797" s="958">
        <f>SUM(G798:G799)</f>
        <v>0</v>
      </c>
      <c r="H797" s="958">
        <f>SUM(H798:H799)</f>
        <v>0</v>
      </c>
      <c r="I797" s="958">
        <f>SUM(I798:I799)</f>
        <v>0</v>
      </c>
      <c r="J797" s="942">
        <f>SUM(J798:J799)</f>
        <v>0</v>
      </c>
    </row>
    <row r="798" spans="1:10" ht="15" hidden="1" customHeight="1">
      <c r="A798" s="1499"/>
      <c r="B798" s="1500"/>
      <c r="C798" s="1501"/>
      <c r="D798" s="1502"/>
      <c r="E798" s="963"/>
      <c r="F798" s="964">
        <f>SUM(G798:J798)</f>
        <v>0</v>
      </c>
      <c r="G798" s="964"/>
      <c r="H798" s="964"/>
      <c r="I798" s="964"/>
      <c r="J798" s="946"/>
    </row>
    <row r="799" spans="1:10" ht="15" hidden="1" customHeight="1" thickBot="1">
      <c r="A799" s="1503"/>
      <c r="B799" s="1504"/>
      <c r="C799" s="1505"/>
      <c r="D799" s="1506"/>
      <c r="E799" s="977"/>
      <c r="F799" s="978">
        <f>SUM(G799:J799)</f>
        <v>0</v>
      </c>
      <c r="G799" s="978"/>
      <c r="H799" s="978"/>
      <c r="I799" s="978"/>
      <c r="J799" s="979"/>
    </row>
    <row r="800" spans="1:10" ht="24.95" customHeight="1" thickBot="1">
      <c r="A800" s="1496" t="s">
        <v>865</v>
      </c>
      <c r="B800" s="1497"/>
      <c r="C800" s="1497"/>
      <c r="D800" s="1497"/>
      <c r="E800" s="1498"/>
      <c r="F800" s="995">
        <f>F8+F348+F406+F497+F622+F722</f>
        <v>617840223</v>
      </c>
      <c r="G800" s="995">
        <f>G8+G348+G406+G497+G622+G722</f>
        <v>170906581</v>
      </c>
      <c r="H800" s="995">
        <f>H8+H348+H406+H497+H622+H722</f>
        <v>334465210</v>
      </c>
      <c r="I800" s="995">
        <f>I8+I348+I406+I497+I622+I722</f>
        <v>109477562</v>
      </c>
      <c r="J800" s="996">
        <f>J8+J348+J406+J497+J622+J722</f>
        <v>2990870</v>
      </c>
    </row>
    <row r="804" spans="5:11">
      <c r="E804" s="997"/>
      <c r="F804" s="2"/>
      <c r="G804" s="2"/>
      <c r="H804" s="2"/>
      <c r="I804" s="2"/>
      <c r="J804" s="2"/>
    </row>
    <row r="805" spans="5:11">
      <c r="E805" s="998"/>
      <c r="F805" s="2"/>
      <c r="G805" s="2"/>
      <c r="H805" s="2"/>
      <c r="I805" s="2"/>
      <c r="J805" s="2"/>
    </row>
    <row r="806" spans="5:11">
      <c r="E806" s="999"/>
      <c r="F806" s="2"/>
      <c r="G806" s="2"/>
      <c r="H806" s="2"/>
      <c r="I806" s="2"/>
      <c r="J806" s="2"/>
    </row>
    <row r="807" spans="5:11">
      <c r="E807" s="999"/>
      <c r="F807" s="2"/>
      <c r="G807" s="2"/>
      <c r="H807" s="2"/>
      <c r="I807" s="2"/>
      <c r="J807" s="2"/>
    </row>
    <row r="808" spans="5:11">
      <c r="E808" s="1000"/>
      <c r="F808" s="2"/>
      <c r="G808" s="2"/>
      <c r="H808" s="2"/>
      <c r="I808" s="2"/>
      <c r="J808" s="2"/>
    </row>
    <row r="809" spans="5:11">
      <c r="E809" s="1001"/>
      <c r="F809" s="2"/>
      <c r="G809" s="2"/>
      <c r="H809" s="2"/>
      <c r="I809" s="2"/>
      <c r="J809" s="2"/>
    </row>
    <row r="810" spans="5:11" ht="15">
      <c r="E810" s="1002"/>
      <c r="F810" s="1003"/>
      <c r="G810" s="1003"/>
      <c r="H810" s="1003"/>
      <c r="I810" s="1003"/>
      <c r="J810" s="1003"/>
      <c r="K810" s="2"/>
    </row>
    <row r="811" spans="5:11">
      <c r="F811" s="2"/>
      <c r="G811" s="2"/>
      <c r="H811" s="2"/>
      <c r="I811" s="2"/>
      <c r="J811" s="2"/>
    </row>
    <row r="812" spans="5:11">
      <c r="E812" s="998"/>
      <c r="F812" s="2"/>
      <c r="G812" s="2"/>
      <c r="H812" s="2"/>
      <c r="I812" s="2"/>
      <c r="J812" s="2"/>
    </row>
    <row r="813" spans="5:11">
      <c r="E813" s="999"/>
      <c r="F813" s="2"/>
      <c r="G813" s="2"/>
      <c r="H813" s="2"/>
      <c r="I813" s="2"/>
      <c r="J813" s="2"/>
    </row>
    <row r="814" spans="5:11">
      <c r="E814" s="999"/>
      <c r="F814" s="2"/>
      <c r="G814" s="2"/>
      <c r="H814" s="2"/>
      <c r="I814" s="2"/>
      <c r="J814" s="2"/>
    </row>
    <row r="815" spans="5:11">
      <c r="E815" s="1000"/>
      <c r="F815" s="2"/>
      <c r="G815" s="2"/>
      <c r="H815" s="2"/>
      <c r="I815" s="2"/>
      <c r="J815" s="2"/>
    </row>
    <row r="816" spans="5:11">
      <c r="E816" s="1001"/>
      <c r="F816" s="2"/>
      <c r="G816" s="2"/>
      <c r="H816" s="2"/>
      <c r="I816" s="2"/>
      <c r="J816" s="2"/>
    </row>
    <row r="817" spans="5:11" ht="15">
      <c r="E817" s="1002"/>
      <c r="F817" s="1003"/>
      <c r="G817" s="1003"/>
      <c r="H817" s="1003"/>
      <c r="I817" s="1003"/>
      <c r="J817" s="1003"/>
      <c r="K817" s="2"/>
    </row>
    <row r="818" spans="5:11">
      <c r="F818" s="2"/>
      <c r="G818" s="2"/>
      <c r="H818" s="2"/>
      <c r="I818" s="2"/>
      <c r="J818" s="2"/>
    </row>
    <row r="819" spans="5:11">
      <c r="F819" s="2"/>
      <c r="G819" s="2"/>
      <c r="H819" s="2"/>
      <c r="I819" s="2"/>
      <c r="J819" s="2"/>
    </row>
    <row r="820" spans="5:11">
      <c r="E820" s="1000"/>
      <c r="F820" s="2"/>
      <c r="G820" s="2"/>
      <c r="H820" s="2"/>
      <c r="I820" s="2"/>
      <c r="J820" s="2"/>
    </row>
    <row r="821" spans="5:11">
      <c r="E821" s="1000"/>
      <c r="F821" s="2"/>
      <c r="G821" s="2"/>
      <c r="H821" s="2"/>
      <c r="I821" s="2"/>
      <c r="J821" s="2"/>
    </row>
    <row r="822" spans="5:11">
      <c r="E822" s="1004"/>
      <c r="F822" s="1003"/>
      <c r="G822" s="1003"/>
      <c r="H822" s="1003"/>
      <c r="I822" s="1003"/>
      <c r="J822" s="1003"/>
    </row>
    <row r="823" spans="5:11">
      <c r="F823" s="2"/>
      <c r="G823" s="2"/>
      <c r="H823" s="2"/>
      <c r="I823" s="2"/>
      <c r="J823" s="2"/>
    </row>
  </sheetData>
  <mergeCells count="206">
    <mergeCell ref="H1:J1"/>
    <mergeCell ref="A2:J2"/>
    <mergeCell ref="A4:J4"/>
    <mergeCell ref="A5:A6"/>
    <mergeCell ref="B5:B6"/>
    <mergeCell ref="C5:C6"/>
    <mergeCell ref="D5:D6"/>
    <mergeCell ref="E5:E6"/>
    <mergeCell ref="F5:F6"/>
    <mergeCell ref="G5:J5"/>
    <mergeCell ref="B8:E8"/>
    <mergeCell ref="A9:J9"/>
    <mergeCell ref="A10:A31"/>
    <mergeCell ref="B10:B31"/>
    <mergeCell ref="C10:D10"/>
    <mergeCell ref="C11:D11"/>
    <mergeCell ref="C17:D17"/>
    <mergeCell ref="D18:D19"/>
    <mergeCell ref="C27:C30"/>
    <mergeCell ref="D28:D29"/>
    <mergeCell ref="A55:A65"/>
    <mergeCell ref="B55:B65"/>
    <mergeCell ref="C55:C65"/>
    <mergeCell ref="D55:D65"/>
    <mergeCell ref="A66:A76"/>
    <mergeCell ref="B66:B76"/>
    <mergeCell ref="C66:C76"/>
    <mergeCell ref="D66:D76"/>
    <mergeCell ref="A32:A42"/>
    <mergeCell ref="B32:B42"/>
    <mergeCell ref="C32:C42"/>
    <mergeCell ref="D32:D42"/>
    <mergeCell ref="A43:A54"/>
    <mergeCell ref="B43:B54"/>
    <mergeCell ref="C43:C54"/>
    <mergeCell ref="D43:D54"/>
    <mergeCell ref="A107:A117"/>
    <mergeCell ref="B107:B117"/>
    <mergeCell ref="C107:C117"/>
    <mergeCell ref="D107:D117"/>
    <mergeCell ref="A118:A127"/>
    <mergeCell ref="B118:B127"/>
    <mergeCell ref="C118:C127"/>
    <mergeCell ref="D118:D127"/>
    <mergeCell ref="A79:A90"/>
    <mergeCell ref="B79:B90"/>
    <mergeCell ref="C79:C90"/>
    <mergeCell ref="D79:D90"/>
    <mergeCell ref="A91:A106"/>
    <mergeCell ref="B91:B106"/>
    <mergeCell ref="C91:C106"/>
    <mergeCell ref="D91:D106"/>
    <mergeCell ref="A167:A187"/>
    <mergeCell ref="B167:B187"/>
    <mergeCell ref="C167:C187"/>
    <mergeCell ref="D167:D187"/>
    <mergeCell ref="A188:A208"/>
    <mergeCell ref="B188:B208"/>
    <mergeCell ref="C188:C208"/>
    <mergeCell ref="D188:D208"/>
    <mergeCell ref="A130:A142"/>
    <mergeCell ref="B130:B142"/>
    <mergeCell ref="C130:C142"/>
    <mergeCell ref="D130:D142"/>
    <mergeCell ref="A143:A164"/>
    <mergeCell ref="B143:B164"/>
    <mergeCell ref="C143:C164"/>
    <mergeCell ref="D143:D164"/>
    <mergeCell ref="A234:A245"/>
    <mergeCell ref="B234:B245"/>
    <mergeCell ref="C234:C245"/>
    <mergeCell ref="D234:D245"/>
    <mergeCell ref="A246:A289"/>
    <mergeCell ref="B246:B289"/>
    <mergeCell ref="C246:C289"/>
    <mergeCell ref="D246:D289"/>
    <mergeCell ref="A209:A220"/>
    <mergeCell ref="B209:B220"/>
    <mergeCell ref="C209:C220"/>
    <mergeCell ref="D209:D220"/>
    <mergeCell ref="A221:A233"/>
    <mergeCell ref="B221:B233"/>
    <mergeCell ref="C221:C233"/>
    <mergeCell ref="D221:D233"/>
    <mergeCell ref="B348:E348"/>
    <mergeCell ref="A349:J349"/>
    <mergeCell ref="A350:A363"/>
    <mergeCell ref="B350:B363"/>
    <mergeCell ref="C350:C363"/>
    <mergeCell ref="D350:D363"/>
    <mergeCell ref="A290:A326"/>
    <mergeCell ref="B290:B326"/>
    <mergeCell ref="C290:C326"/>
    <mergeCell ref="D290:D326"/>
    <mergeCell ref="A327:A345"/>
    <mergeCell ref="B327:B345"/>
    <mergeCell ref="C327:C345"/>
    <mergeCell ref="D327:D345"/>
    <mergeCell ref="A392:A405"/>
    <mergeCell ref="B392:B405"/>
    <mergeCell ref="C392:C405"/>
    <mergeCell ref="D392:D405"/>
    <mergeCell ref="B406:E406"/>
    <mergeCell ref="A407:J407"/>
    <mergeCell ref="A364:A377"/>
    <mergeCell ref="B364:B377"/>
    <mergeCell ref="C364:C377"/>
    <mergeCell ref="D364:D377"/>
    <mergeCell ref="A378:A391"/>
    <mergeCell ref="B378:B391"/>
    <mergeCell ref="C378:C391"/>
    <mergeCell ref="D378:D391"/>
    <mergeCell ref="A434:A445"/>
    <mergeCell ref="B434:B445"/>
    <mergeCell ref="C434:C445"/>
    <mergeCell ref="D434:D445"/>
    <mergeCell ref="A446:A458"/>
    <mergeCell ref="B446:B458"/>
    <mergeCell ref="C446:C458"/>
    <mergeCell ref="D446:D458"/>
    <mergeCell ref="A408:A420"/>
    <mergeCell ref="B408:B420"/>
    <mergeCell ref="C408:C420"/>
    <mergeCell ref="D408:D416"/>
    <mergeCell ref="D418:D420"/>
    <mergeCell ref="A421:A433"/>
    <mergeCell ref="B421:B433"/>
    <mergeCell ref="C421:C433"/>
    <mergeCell ref="D421:D432"/>
    <mergeCell ref="A485:A496"/>
    <mergeCell ref="B485:B496"/>
    <mergeCell ref="C485:C496"/>
    <mergeCell ref="D485:D496"/>
    <mergeCell ref="B497:E497"/>
    <mergeCell ref="A498:J498"/>
    <mergeCell ref="A459:A470"/>
    <mergeCell ref="B459:B470"/>
    <mergeCell ref="C459:C470"/>
    <mergeCell ref="D459:D470"/>
    <mergeCell ref="A472:A484"/>
    <mergeCell ref="B472:B484"/>
    <mergeCell ref="C472:C484"/>
    <mergeCell ref="D472:D483"/>
    <mergeCell ref="D507:D508"/>
    <mergeCell ref="D509:D510"/>
    <mergeCell ref="D511:D512"/>
    <mergeCell ref="C513:C514"/>
    <mergeCell ref="D513:D514"/>
    <mergeCell ref="C515:C516"/>
    <mergeCell ref="D515:D516"/>
    <mergeCell ref="A499:A521"/>
    <mergeCell ref="B499:B521"/>
    <mergeCell ref="C499:D499"/>
    <mergeCell ref="C500:D500"/>
    <mergeCell ref="C501:C504"/>
    <mergeCell ref="D501:D502"/>
    <mergeCell ref="D503:D504"/>
    <mergeCell ref="C505:C506"/>
    <mergeCell ref="D505:D506"/>
    <mergeCell ref="C507:C512"/>
    <mergeCell ref="C517:D517"/>
    <mergeCell ref="A522:A532"/>
    <mergeCell ref="B522:B532"/>
    <mergeCell ref="C522:C532"/>
    <mergeCell ref="D522:D532"/>
    <mergeCell ref="A533:A570"/>
    <mergeCell ref="B533:B570"/>
    <mergeCell ref="C533:C570"/>
    <mergeCell ref="D533:D570"/>
    <mergeCell ref="A624:A661"/>
    <mergeCell ref="B624:B661"/>
    <mergeCell ref="C624:C661"/>
    <mergeCell ref="D624:D661"/>
    <mergeCell ref="A662:A704"/>
    <mergeCell ref="B662:B704"/>
    <mergeCell ref="C662:C704"/>
    <mergeCell ref="D662:D704"/>
    <mergeCell ref="A573:A621"/>
    <mergeCell ref="B573:B621"/>
    <mergeCell ref="C573:C621"/>
    <mergeCell ref="D573:D621"/>
    <mergeCell ref="B622:E622"/>
    <mergeCell ref="A623:J623"/>
    <mergeCell ref="A724:A742"/>
    <mergeCell ref="B724:B742"/>
    <mergeCell ref="C724:C742"/>
    <mergeCell ref="D724:D742"/>
    <mergeCell ref="A745:A761"/>
    <mergeCell ref="B745:B761"/>
    <mergeCell ref="C745:C761"/>
    <mergeCell ref="D745:D761"/>
    <mergeCell ref="A707:A721"/>
    <mergeCell ref="B707:B721"/>
    <mergeCell ref="C707:C721"/>
    <mergeCell ref="D707:D721"/>
    <mergeCell ref="B722:E722"/>
    <mergeCell ref="A723:J723"/>
    <mergeCell ref="A800:E800"/>
    <mergeCell ref="A762:A769"/>
    <mergeCell ref="B762:B769"/>
    <mergeCell ref="C762:C769"/>
    <mergeCell ref="D762:D769"/>
    <mergeCell ref="A770:A799"/>
    <mergeCell ref="B770:B799"/>
    <mergeCell ref="C770:C799"/>
    <mergeCell ref="D770:D799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>
    <oddFooter>Strona &amp;P z &amp;N</oddFooter>
  </headerFooter>
  <rowBreaks count="7" manualBreakCount="7">
    <brk id="78" max="9" man="1"/>
    <brk id="166" max="9" man="1"/>
    <brk id="245" max="9" man="1"/>
    <brk id="405" max="9" man="1"/>
    <brk id="521" max="9" man="1"/>
    <brk id="572" max="9" man="1"/>
    <brk id="744" max="9" man="1"/>
  </rowBreaks>
  <colBreaks count="1" manualBreakCount="1">
    <brk id="10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HR560"/>
  <sheetViews>
    <sheetView view="pageBreakPreview" zoomScaleSheetLayoutView="100" workbookViewId="0">
      <selection activeCell="H1" sqref="H1:J1"/>
    </sheetView>
  </sheetViews>
  <sheetFormatPr defaultRowHeight="12.75"/>
  <cols>
    <col min="1" max="1" width="3.5703125" style="1" customWidth="1"/>
    <col min="2" max="2" width="50.7109375" style="1" customWidth="1"/>
    <col min="3" max="4" width="7.7109375" style="6" customWidth="1"/>
    <col min="5" max="5" width="16.85546875" style="1" bestFit="1" customWidth="1"/>
    <col min="6" max="10" width="12.7109375" style="1" customWidth="1"/>
    <col min="11" max="11" width="10.85546875" style="1" bestFit="1" customWidth="1"/>
    <col min="12" max="12" width="11.140625" style="1" bestFit="1" customWidth="1"/>
    <col min="13" max="242" width="9.140625" style="1"/>
    <col min="243" max="243" width="4.28515625" style="1" bestFit="1" customWidth="1"/>
    <col min="244" max="244" width="6.85546875" style="1" bestFit="1" customWidth="1"/>
    <col min="245" max="245" width="11" style="1" customWidth="1"/>
    <col min="246" max="246" width="11.140625" style="1" bestFit="1" customWidth="1"/>
    <col min="247" max="247" width="10.85546875" style="1" customWidth="1"/>
    <col min="248" max="248" width="11.5703125" style="1" customWidth="1"/>
    <col min="249" max="249" width="11.140625" style="1" bestFit="1" customWidth="1"/>
    <col min="250" max="250" width="11" style="1" customWidth="1"/>
    <col min="251" max="251" width="10.42578125" style="1" customWidth="1"/>
    <col min="252" max="252" width="11.28515625" style="1" customWidth="1"/>
    <col min="253" max="254" width="9.140625" style="1" bestFit="1" customWidth="1"/>
    <col min="255" max="256" width="11.140625" style="1" bestFit="1" customWidth="1"/>
    <col min="257" max="257" width="11.5703125" style="1" bestFit="1" customWidth="1"/>
    <col min="258" max="258" width="9.140625" style="1" bestFit="1" customWidth="1"/>
    <col min="259" max="259" width="10.28515625" style="1" customWidth="1"/>
    <col min="260" max="498" width="9.140625" style="1"/>
    <col min="499" max="499" width="4.28515625" style="1" bestFit="1" customWidth="1"/>
    <col min="500" max="500" width="6.85546875" style="1" bestFit="1" customWidth="1"/>
    <col min="501" max="501" width="11" style="1" customWidth="1"/>
    <col min="502" max="502" width="11.140625" style="1" bestFit="1" customWidth="1"/>
    <col min="503" max="503" width="10.85546875" style="1" customWidth="1"/>
    <col min="504" max="504" width="11.5703125" style="1" customWidth="1"/>
    <col min="505" max="505" width="11.140625" style="1" bestFit="1" customWidth="1"/>
    <col min="506" max="506" width="11" style="1" customWidth="1"/>
    <col min="507" max="507" width="10.42578125" style="1" customWidth="1"/>
    <col min="508" max="508" width="11.28515625" style="1" customWidth="1"/>
    <col min="509" max="510" width="9.140625" style="1" bestFit="1" customWidth="1"/>
    <col min="511" max="512" width="11.140625" style="1" bestFit="1" customWidth="1"/>
    <col min="513" max="513" width="11.5703125" style="1" bestFit="1" customWidth="1"/>
    <col min="514" max="514" width="9.140625" style="1" bestFit="1" customWidth="1"/>
    <col min="515" max="515" width="10.28515625" style="1" customWidth="1"/>
    <col min="516" max="754" width="9.140625" style="1"/>
    <col min="755" max="755" width="4.28515625" style="1" bestFit="1" customWidth="1"/>
    <col min="756" max="756" width="6.85546875" style="1" bestFit="1" customWidth="1"/>
    <col min="757" max="757" width="11" style="1" customWidth="1"/>
    <col min="758" max="758" width="11.140625" style="1" bestFit="1" customWidth="1"/>
    <col min="759" max="759" width="10.85546875" style="1" customWidth="1"/>
    <col min="760" max="760" width="11.5703125" style="1" customWidth="1"/>
    <col min="761" max="761" width="11.140625" style="1" bestFit="1" customWidth="1"/>
    <col min="762" max="762" width="11" style="1" customWidth="1"/>
    <col min="763" max="763" width="10.42578125" style="1" customWidth="1"/>
    <col min="764" max="764" width="11.28515625" style="1" customWidth="1"/>
    <col min="765" max="766" width="9.140625" style="1" bestFit="1" customWidth="1"/>
    <col min="767" max="768" width="11.140625" style="1" bestFit="1" customWidth="1"/>
    <col min="769" max="769" width="11.5703125" style="1" bestFit="1" customWidth="1"/>
    <col min="770" max="770" width="9.140625" style="1" bestFit="1" customWidth="1"/>
    <col min="771" max="771" width="10.28515625" style="1" customWidth="1"/>
    <col min="772" max="1010" width="9.140625" style="1"/>
    <col min="1011" max="1011" width="4.28515625" style="1" bestFit="1" customWidth="1"/>
    <col min="1012" max="1012" width="6.85546875" style="1" bestFit="1" customWidth="1"/>
    <col min="1013" max="1013" width="11" style="1" customWidth="1"/>
    <col min="1014" max="1014" width="11.140625" style="1" bestFit="1" customWidth="1"/>
    <col min="1015" max="1015" width="10.85546875" style="1" customWidth="1"/>
    <col min="1016" max="1016" width="11.5703125" style="1" customWidth="1"/>
    <col min="1017" max="1017" width="11.140625" style="1" bestFit="1" customWidth="1"/>
    <col min="1018" max="1018" width="11" style="1" customWidth="1"/>
    <col min="1019" max="1019" width="10.42578125" style="1" customWidth="1"/>
    <col min="1020" max="1020" width="11.28515625" style="1" customWidth="1"/>
    <col min="1021" max="1022" width="9.140625" style="1" bestFit="1" customWidth="1"/>
    <col min="1023" max="1024" width="11.140625" style="1" bestFit="1" customWidth="1"/>
    <col min="1025" max="1025" width="11.5703125" style="1" bestFit="1" customWidth="1"/>
    <col min="1026" max="1026" width="9.140625" style="1" bestFit="1" customWidth="1"/>
    <col min="1027" max="1027" width="10.28515625" style="1" customWidth="1"/>
    <col min="1028" max="1266" width="9.140625" style="1"/>
    <col min="1267" max="1267" width="4.28515625" style="1" bestFit="1" customWidth="1"/>
    <col min="1268" max="1268" width="6.85546875" style="1" bestFit="1" customWidth="1"/>
    <col min="1269" max="1269" width="11" style="1" customWidth="1"/>
    <col min="1270" max="1270" width="11.140625" style="1" bestFit="1" customWidth="1"/>
    <col min="1271" max="1271" width="10.85546875" style="1" customWidth="1"/>
    <col min="1272" max="1272" width="11.5703125" style="1" customWidth="1"/>
    <col min="1273" max="1273" width="11.140625" style="1" bestFit="1" customWidth="1"/>
    <col min="1274" max="1274" width="11" style="1" customWidth="1"/>
    <col min="1275" max="1275" width="10.42578125" style="1" customWidth="1"/>
    <col min="1276" max="1276" width="11.28515625" style="1" customWidth="1"/>
    <col min="1277" max="1278" width="9.140625" style="1" bestFit="1" customWidth="1"/>
    <col min="1279" max="1280" width="11.140625" style="1" bestFit="1" customWidth="1"/>
    <col min="1281" max="1281" width="11.5703125" style="1" bestFit="1" customWidth="1"/>
    <col min="1282" max="1282" width="9.140625" style="1" bestFit="1" customWidth="1"/>
    <col min="1283" max="1283" width="10.28515625" style="1" customWidth="1"/>
    <col min="1284" max="1522" width="9.140625" style="1"/>
    <col min="1523" max="1523" width="4.28515625" style="1" bestFit="1" customWidth="1"/>
    <col min="1524" max="1524" width="6.85546875" style="1" bestFit="1" customWidth="1"/>
    <col min="1525" max="1525" width="11" style="1" customWidth="1"/>
    <col min="1526" max="1526" width="11.140625" style="1" bestFit="1" customWidth="1"/>
    <col min="1527" max="1527" width="10.85546875" style="1" customWidth="1"/>
    <col min="1528" max="1528" width="11.5703125" style="1" customWidth="1"/>
    <col min="1529" max="1529" width="11.140625" style="1" bestFit="1" customWidth="1"/>
    <col min="1530" max="1530" width="11" style="1" customWidth="1"/>
    <col min="1531" max="1531" width="10.42578125" style="1" customWidth="1"/>
    <col min="1532" max="1532" width="11.28515625" style="1" customWidth="1"/>
    <col min="1533" max="1534" width="9.140625" style="1" bestFit="1" customWidth="1"/>
    <col min="1535" max="1536" width="11.140625" style="1" bestFit="1" customWidth="1"/>
    <col min="1537" max="1537" width="11.5703125" style="1" bestFit="1" customWidth="1"/>
    <col min="1538" max="1538" width="9.140625" style="1" bestFit="1" customWidth="1"/>
    <col min="1539" max="1539" width="10.28515625" style="1" customWidth="1"/>
    <col min="1540" max="1778" width="9.140625" style="1"/>
    <col min="1779" max="1779" width="4.28515625" style="1" bestFit="1" customWidth="1"/>
    <col min="1780" max="1780" width="6.85546875" style="1" bestFit="1" customWidth="1"/>
    <col min="1781" max="1781" width="11" style="1" customWidth="1"/>
    <col min="1782" max="1782" width="11.140625" style="1" bestFit="1" customWidth="1"/>
    <col min="1783" max="1783" width="10.85546875" style="1" customWidth="1"/>
    <col min="1784" max="1784" width="11.5703125" style="1" customWidth="1"/>
    <col min="1785" max="1785" width="11.140625" style="1" bestFit="1" customWidth="1"/>
    <col min="1786" max="1786" width="11" style="1" customWidth="1"/>
    <col min="1787" max="1787" width="10.42578125" style="1" customWidth="1"/>
    <col min="1788" max="1788" width="11.28515625" style="1" customWidth="1"/>
    <col min="1789" max="1790" width="9.140625" style="1" bestFit="1" customWidth="1"/>
    <col min="1791" max="1792" width="11.140625" style="1" bestFit="1" customWidth="1"/>
    <col min="1793" max="1793" width="11.5703125" style="1" bestFit="1" customWidth="1"/>
    <col min="1794" max="1794" width="9.140625" style="1" bestFit="1" customWidth="1"/>
    <col min="1795" max="1795" width="10.28515625" style="1" customWidth="1"/>
    <col min="1796" max="2034" width="9.140625" style="1"/>
    <col min="2035" max="2035" width="4.28515625" style="1" bestFit="1" customWidth="1"/>
    <col min="2036" max="2036" width="6.85546875" style="1" bestFit="1" customWidth="1"/>
    <col min="2037" max="2037" width="11" style="1" customWidth="1"/>
    <col min="2038" max="2038" width="11.140625" style="1" bestFit="1" customWidth="1"/>
    <col min="2039" max="2039" width="10.85546875" style="1" customWidth="1"/>
    <col min="2040" max="2040" width="11.5703125" style="1" customWidth="1"/>
    <col min="2041" max="2041" width="11.140625" style="1" bestFit="1" customWidth="1"/>
    <col min="2042" max="2042" width="11" style="1" customWidth="1"/>
    <col min="2043" max="2043" width="10.42578125" style="1" customWidth="1"/>
    <col min="2044" max="2044" width="11.28515625" style="1" customWidth="1"/>
    <col min="2045" max="2046" width="9.140625" style="1" bestFit="1" customWidth="1"/>
    <col min="2047" max="2048" width="11.140625" style="1" bestFit="1" customWidth="1"/>
    <col min="2049" max="2049" width="11.5703125" style="1" bestFit="1" customWidth="1"/>
    <col min="2050" max="2050" width="9.140625" style="1" bestFit="1" customWidth="1"/>
    <col min="2051" max="2051" width="10.28515625" style="1" customWidth="1"/>
    <col min="2052" max="2290" width="9.140625" style="1"/>
    <col min="2291" max="2291" width="4.28515625" style="1" bestFit="1" customWidth="1"/>
    <col min="2292" max="2292" width="6.85546875" style="1" bestFit="1" customWidth="1"/>
    <col min="2293" max="2293" width="11" style="1" customWidth="1"/>
    <col min="2294" max="2294" width="11.140625" style="1" bestFit="1" customWidth="1"/>
    <col min="2295" max="2295" width="10.85546875" style="1" customWidth="1"/>
    <col min="2296" max="2296" width="11.5703125" style="1" customWidth="1"/>
    <col min="2297" max="2297" width="11.140625" style="1" bestFit="1" customWidth="1"/>
    <col min="2298" max="2298" width="11" style="1" customWidth="1"/>
    <col min="2299" max="2299" width="10.42578125" style="1" customWidth="1"/>
    <col min="2300" max="2300" width="11.28515625" style="1" customWidth="1"/>
    <col min="2301" max="2302" width="9.140625" style="1" bestFit="1" customWidth="1"/>
    <col min="2303" max="2304" width="11.140625" style="1" bestFit="1" customWidth="1"/>
    <col min="2305" max="2305" width="11.5703125" style="1" bestFit="1" customWidth="1"/>
    <col min="2306" max="2306" width="9.140625" style="1" bestFit="1" customWidth="1"/>
    <col min="2307" max="2307" width="10.28515625" style="1" customWidth="1"/>
    <col min="2308" max="2546" width="9.140625" style="1"/>
    <col min="2547" max="2547" width="4.28515625" style="1" bestFit="1" customWidth="1"/>
    <col min="2548" max="2548" width="6.85546875" style="1" bestFit="1" customWidth="1"/>
    <col min="2549" max="2549" width="11" style="1" customWidth="1"/>
    <col min="2550" max="2550" width="11.140625" style="1" bestFit="1" customWidth="1"/>
    <col min="2551" max="2551" width="10.85546875" style="1" customWidth="1"/>
    <col min="2552" max="2552" width="11.5703125" style="1" customWidth="1"/>
    <col min="2553" max="2553" width="11.140625" style="1" bestFit="1" customWidth="1"/>
    <col min="2554" max="2554" width="11" style="1" customWidth="1"/>
    <col min="2555" max="2555" width="10.42578125" style="1" customWidth="1"/>
    <col min="2556" max="2556" width="11.28515625" style="1" customWidth="1"/>
    <col min="2557" max="2558" width="9.140625" style="1" bestFit="1" customWidth="1"/>
    <col min="2559" max="2560" width="11.140625" style="1" bestFit="1" customWidth="1"/>
    <col min="2561" max="2561" width="11.5703125" style="1" bestFit="1" customWidth="1"/>
    <col min="2562" max="2562" width="9.140625" style="1" bestFit="1" customWidth="1"/>
    <col min="2563" max="2563" width="10.28515625" style="1" customWidth="1"/>
    <col min="2564" max="2802" width="9.140625" style="1"/>
    <col min="2803" max="2803" width="4.28515625" style="1" bestFit="1" customWidth="1"/>
    <col min="2804" max="2804" width="6.85546875" style="1" bestFit="1" customWidth="1"/>
    <col min="2805" max="2805" width="11" style="1" customWidth="1"/>
    <col min="2806" max="2806" width="11.140625" style="1" bestFit="1" customWidth="1"/>
    <col min="2807" max="2807" width="10.85546875" style="1" customWidth="1"/>
    <col min="2808" max="2808" width="11.5703125" style="1" customWidth="1"/>
    <col min="2809" max="2809" width="11.140625" style="1" bestFit="1" customWidth="1"/>
    <col min="2810" max="2810" width="11" style="1" customWidth="1"/>
    <col min="2811" max="2811" width="10.42578125" style="1" customWidth="1"/>
    <col min="2812" max="2812" width="11.28515625" style="1" customWidth="1"/>
    <col min="2813" max="2814" width="9.140625" style="1" bestFit="1" customWidth="1"/>
    <col min="2815" max="2816" width="11.140625" style="1" bestFit="1" customWidth="1"/>
    <col min="2817" max="2817" width="11.5703125" style="1" bestFit="1" customWidth="1"/>
    <col min="2818" max="2818" width="9.140625" style="1" bestFit="1" customWidth="1"/>
    <col min="2819" max="2819" width="10.28515625" style="1" customWidth="1"/>
    <col min="2820" max="3058" width="9.140625" style="1"/>
    <col min="3059" max="3059" width="4.28515625" style="1" bestFit="1" customWidth="1"/>
    <col min="3060" max="3060" width="6.85546875" style="1" bestFit="1" customWidth="1"/>
    <col min="3061" max="3061" width="11" style="1" customWidth="1"/>
    <col min="3062" max="3062" width="11.140625" style="1" bestFit="1" customWidth="1"/>
    <col min="3063" max="3063" width="10.85546875" style="1" customWidth="1"/>
    <col min="3064" max="3064" width="11.5703125" style="1" customWidth="1"/>
    <col min="3065" max="3065" width="11.140625" style="1" bestFit="1" customWidth="1"/>
    <col min="3066" max="3066" width="11" style="1" customWidth="1"/>
    <col min="3067" max="3067" width="10.42578125" style="1" customWidth="1"/>
    <col min="3068" max="3068" width="11.28515625" style="1" customWidth="1"/>
    <col min="3069" max="3070" width="9.140625" style="1" bestFit="1" customWidth="1"/>
    <col min="3071" max="3072" width="11.140625" style="1" bestFit="1" customWidth="1"/>
    <col min="3073" max="3073" width="11.5703125" style="1" bestFit="1" customWidth="1"/>
    <col min="3074" max="3074" width="9.140625" style="1" bestFit="1" customWidth="1"/>
    <col min="3075" max="3075" width="10.28515625" style="1" customWidth="1"/>
    <col min="3076" max="3314" width="9.140625" style="1"/>
    <col min="3315" max="3315" width="4.28515625" style="1" bestFit="1" customWidth="1"/>
    <col min="3316" max="3316" width="6.85546875" style="1" bestFit="1" customWidth="1"/>
    <col min="3317" max="3317" width="11" style="1" customWidth="1"/>
    <col min="3318" max="3318" width="11.140625" style="1" bestFit="1" customWidth="1"/>
    <col min="3319" max="3319" width="10.85546875" style="1" customWidth="1"/>
    <col min="3320" max="3320" width="11.5703125" style="1" customWidth="1"/>
    <col min="3321" max="3321" width="11.140625" style="1" bestFit="1" customWidth="1"/>
    <col min="3322" max="3322" width="11" style="1" customWidth="1"/>
    <col min="3323" max="3323" width="10.42578125" style="1" customWidth="1"/>
    <col min="3324" max="3324" width="11.28515625" style="1" customWidth="1"/>
    <col min="3325" max="3326" width="9.140625" style="1" bestFit="1" customWidth="1"/>
    <col min="3327" max="3328" width="11.140625" style="1" bestFit="1" customWidth="1"/>
    <col min="3329" max="3329" width="11.5703125" style="1" bestFit="1" customWidth="1"/>
    <col min="3330" max="3330" width="9.140625" style="1" bestFit="1" customWidth="1"/>
    <col min="3331" max="3331" width="10.28515625" style="1" customWidth="1"/>
    <col min="3332" max="3570" width="9.140625" style="1"/>
    <col min="3571" max="3571" width="4.28515625" style="1" bestFit="1" customWidth="1"/>
    <col min="3572" max="3572" width="6.85546875" style="1" bestFit="1" customWidth="1"/>
    <col min="3573" max="3573" width="11" style="1" customWidth="1"/>
    <col min="3574" max="3574" width="11.140625" style="1" bestFit="1" customWidth="1"/>
    <col min="3575" max="3575" width="10.85546875" style="1" customWidth="1"/>
    <col min="3576" max="3576" width="11.5703125" style="1" customWidth="1"/>
    <col min="3577" max="3577" width="11.140625" style="1" bestFit="1" customWidth="1"/>
    <col min="3578" max="3578" width="11" style="1" customWidth="1"/>
    <col min="3579" max="3579" width="10.42578125" style="1" customWidth="1"/>
    <col min="3580" max="3580" width="11.28515625" style="1" customWidth="1"/>
    <col min="3581" max="3582" width="9.140625" style="1" bestFit="1" customWidth="1"/>
    <col min="3583" max="3584" width="11.140625" style="1" bestFit="1" customWidth="1"/>
    <col min="3585" max="3585" width="11.5703125" style="1" bestFit="1" customWidth="1"/>
    <col min="3586" max="3586" width="9.140625" style="1" bestFit="1" customWidth="1"/>
    <col min="3587" max="3587" width="10.28515625" style="1" customWidth="1"/>
    <col min="3588" max="3826" width="9.140625" style="1"/>
    <col min="3827" max="3827" width="4.28515625" style="1" bestFit="1" customWidth="1"/>
    <col min="3828" max="3828" width="6.85546875" style="1" bestFit="1" customWidth="1"/>
    <col min="3829" max="3829" width="11" style="1" customWidth="1"/>
    <col min="3830" max="3830" width="11.140625" style="1" bestFit="1" customWidth="1"/>
    <col min="3831" max="3831" width="10.85546875" style="1" customWidth="1"/>
    <col min="3832" max="3832" width="11.5703125" style="1" customWidth="1"/>
    <col min="3833" max="3833" width="11.140625" style="1" bestFit="1" customWidth="1"/>
    <col min="3834" max="3834" width="11" style="1" customWidth="1"/>
    <col min="3835" max="3835" width="10.42578125" style="1" customWidth="1"/>
    <col min="3836" max="3836" width="11.28515625" style="1" customWidth="1"/>
    <col min="3837" max="3838" width="9.140625" style="1" bestFit="1" customWidth="1"/>
    <col min="3839" max="3840" width="11.140625" style="1" bestFit="1" customWidth="1"/>
    <col min="3841" max="3841" width="11.5703125" style="1" bestFit="1" customWidth="1"/>
    <col min="3842" max="3842" width="9.140625" style="1" bestFit="1" customWidth="1"/>
    <col min="3843" max="3843" width="10.28515625" style="1" customWidth="1"/>
    <col min="3844" max="4082" width="9.140625" style="1"/>
    <col min="4083" max="4083" width="4.28515625" style="1" bestFit="1" customWidth="1"/>
    <col min="4084" max="4084" width="6.85546875" style="1" bestFit="1" customWidth="1"/>
    <col min="4085" max="4085" width="11" style="1" customWidth="1"/>
    <col min="4086" max="4086" width="11.140625" style="1" bestFit="1" customWidth="1"/>
    <col min="4087" max="4087" width="10.85546875" style="1" customWidth="1"/>
    <col min="4088" max="4088" width="11.5703125" style="1" customWidth="1"/>
    <col min="4089" max="4089" width="11.140625" style="1" bestFit="1" customWidth="1"/>
    <col min="4090" max="4090" width="11" style="1" customWidth="1"/>
    <col min="4091" max="4091" width="10.42578125" style="1" customWidth="1"/>
    <col min="4092" max="4092" width="11.28515625" style="1" customWidth="1"/>
    <col min="4093" max="4094" width="9.140625" style="1" bestFit="1" customWidth="1"/>
    <col min="4095" max="4096" width="11.140625" style="1" bestFit="1" customWidth="1"/>
    <col min="4097" max="4097" width="11.5703125" style="1" bestFit="1" customWidth="1"/>
    <col min="4098" max="4098" width="9.140625" style="1" bestFit="1" customWidth="1"/>
    <col min="4099" max="4099" width="10.28515625" style="1" customWidth="1"/>
    <col min="4100" max="4338" width="9.140625" style="1"/>
    <col min="4339" max="4339" width="4.28515625" style="1" bestFit="1" customWidth="1"/>
    <col min="4340" max="4340" width="6.85546875" style="1" bestFit="1" customWidth="1"/>
    <col min="4341" max="4341" width="11" style="1" customWidth="1"/>
    <col min="4342" max="4342" width="11.140625" style="1" bestFit="1" customWidth="1"/>
    <col min="4343" max="4343" width="10.85546875" style="1" customWidth="1"/>
    <col min="4344" max="4344" width="11.5703125" style="1" customWidth="1"/>
    <col min="4345" max="4345" width="11.140625" style="1" bestFit="1" customWidth="1"/>
    <col min="4346" max="4346" width="11" style="1" customWidth="1"/>
    <col min="4347" max="4347" width="10.42578125" style="1" customWidth="1"/>
    <col min="4348" max="4348" width="11.28515625" style="1" customWidth="1"/>
    <col min="4349" max="4350" width="9.140625" style="1" bestFit="1" customWidth="1"/>
    <col min="4351" max="4352" width="11.140625" style="1" bestFit="1" customWidth="1"/>
    <col min="4353" max="4353" width="11.5703125" style="1" bestFit="1" customWidth="1"/>
    <col min="4354" max="4354" width="9.140625" style="1" bestFit="1" customWidth="1"/>
    <col min="4355" max="4355" width="10.28515625" style="1" customWidth="1"/>
    <col min="4356" max="4594" width="9.140625" style="1"/>
    <col min="4595" max="4595" width="4.28515625" style="1" bestFit="1" customWidth="1"/>
    <col min="4596" max="4596" width="6.85546875" style="1" bestFit="1" customWidth="1"/>
    <col min="4597" max="4597" width="11" style="1" customWidth="1"/>
    <col min="4598" max="4598" width="11.140625" style="1" bestFit="1" customWidth="1"/>
    <col min="4599" max="4599" width="10.85546875" style="1" customWidth="1"/>
    <col min="4600" max="4600" width="11.5703125" style="1" customWidth="1"/>
    <col min="4601" max="4601" width="11.140625" style="1" bestFit="1" customWidth="1"/>
    <col min="4602" max="4602" width="11" style="1" customWidth="1"/>
    <col min="4603" max="4603" width="10.42578125" style="1" customWidth="1"/>
    <col min="4604" max="4604" width="11.28515625" style="1" customWidth="1"/>
    <col min="4605" max="4606" width="9.140625" style="1" bestFit="1" customWidth="1"/>
    <col min="4607" max="4608" width="11.140625" style="1" bestFit="1" customWidth="1"/>
    <col min="4609" max="4609" width="11.5703125" style="1" bestFit="1" customWidth="1"/>
    <col min="4610" max="4610" width="9.140625" style="1" bestFit="1" customWidth="1"/>
    <col min="4611" max="4611" width="10.28515625" style="1" customWidth="1"/>
    <col min="4612" max="4850" width="9.140625" style="1"/>
    <col min="4851" max="4851" width="4.28515625" style="1" bestFit="1" customWidth="1"/>
    <col min="4852" max="4852" width="6.85546875" style="1" bestFit="1" customWidth="1"/>
    <col min="4853" max="4853" width="11" style="1" customWidth="1"/>
    <col min="4854" max="4854" width="11.140625" style="1" bestFit="1" customWidth="1"/>
    <col min="4855" max="4855" width="10.85546875" style="1" customWidth="1"/>
    <col min="4856" max="4856" width="11.5703125" style="1" customWidth="1"/>
    <col min="4857" max="4857" width="11.140625" style="1" bestFit="1" customWidth="1"/>
    <col min="4858" max="4858" width="11" style="1" customWidth="1"/>
    <col min="4859" max="4859" width="10.42578125" style="1" customWidth="1"/>
    <col min="4860" max="4860" width="11.28515625" style="1" customWidth="1"/>
    <col min="4861" max="4862" width="9.140625" style="1" bestFit="1" customWidth="1"/>
    <col min="4863" max="4864" width="11.140625" style="1" bestFit="1" customWidth="1"/>
    <col min="4865" max="4865" width="11.5703125" style="1" bestFit="1" customWidth="1"/>
    <col min="4866" max="4866" width="9.140625" style="1" bestFit="1" customWidth="1"/>
    <col min="4867" max="4867" width="10.28515625" style="1" customWidth="1"/>
    <col min="4868" max="5106" width="9.140625" style="1"/>
    <col min="5107" max="5107" width="4.28515625" style="1" bestFit="1" customWidth="1"/>
    <col min="5108" max="5108" width="6.85546875" style="1" bestFit="1" customWidth="1"/>
    <col min="5109" max="5109" width="11" style="1" customWidth="1"/>
    <col min="5110" max="5110" width="11.140625" style="1" bestFit="1" customWidth="1"/>
    <col min="5111" max="5111" width="10.85546875" style="1" customWidth="1"/>
    <col min="5112" max="5112" width="11.5703125" style="1" customWidth="1"/>
    <col min="5113" max="5113" width="11.140625" style="1" bestFit="1" customWidth="1"/>
    <col min="5114" max="5114" width="11" style="1" customWidth="1"/>
    <col min="5115" max="5115" width="10.42578125" style="1" customWidth="1"/>
    <col min="5116" max="5116" width="11.28515625" style="1" customWidth="1"/>
    <col min="5117" max="5118" width="9.140625" style="1" bestFit="1" customWidth="1"/>
    <col min="5119" max="5120" width="11.140625" style="1" bestFit="1" customWidth="1"/>
    <col min="5121" max="5121" width="11.5703125" style="1" bestFit="1" customWidth="1"/>
    <col min="5122" max="5122" width="9.140625" style="1" bestFit="1" customWidth="1"/>
    <col min="5123" max="5123" width="10.28515625" style="1" customWidth="1"/>
    <col min="5124" max="5362" width="9.140625" style="1"/>
    <col min="5363" max="5363" width="4.28515625" style="1" bestFit="1" customWidth="1"/>
    <col min="5364" max="5364" width="6.85546875" style="1" bestFit="1" customWidth="1"/>
    <col min="5365" max="5365" width="11" style="1" customWidth="1"/>
    <col min="5366" max="5366" width="11.140625" style="1" bestFit="1" customWidth="1"/>
    <col min="5367" max="5367" width="10.85546875" style="1" customWidth="1"/>
    <col min="5368" max="5368" width="11.5703125" style="1" customWidth="1"/>
    <col min="5369" max="5369" width="11.140625" style="1" bestFit="1" customWidth="1"/>
    <col min="5370" max="5370" width="11" style="1" customWidth="1"/>
    <col min="5371" max="5371" width="10.42578125" style="1" customWidth="1"/>
    <col min="5372" max="5372" width="11.28515625" style="1" customWidth="1"/>
    <col min="5373" max="5374" width="9.140625" style="1" bestFit="1" customWidth="1"/>
    <col min="5375" max="5376" width="11.140625" style="1" bestFit="1" customWidth="1"/>
    <col min="5377" max="5377" width="11.5703125" style="1" bestFit="1" customWidth="1"/>
    <col min="5378" max="5378" width="9.140625" style="1" bestFit="1" customWidth="1"/>
    <col min="5379" max="5379" width="10.28515625" style="1" customWidth="1"/>
    <col min="5380" max="5618" width="9.140625" style="1"/>
    <col min="5619" max="5619" width="4.28515625" style="1" bestFit="1" customWidth="1"/>
    <col min="5620" max="5620" width="6.85546875" style="1" bestFit="1" customWidth="1"/>
    <col min="5621" max="5621" width="11" style="1" customWidth="1"/>
    <col min="5622" max="5622" width="11.140625" style="1" bestFit="1" customWidth="1"/>
    <col min="5623" max="5623" width="10.85546875" style="1" customWidth="1"/>
    <col min="5624" max="5624" width="11.5703125" style="1" customWidth="1"/>
    <col min="5625" max="5625" width="11.140625" style="1" bestFit="1" customWidth="1"/>
    <col min="5626" max="5626" width="11" style="1" customWidth="1"/>
    <col min="5627" max="5627" width="10.42578125" style="1" customWidth="1"/>
    <col min="5628" max="5628" width="11.28515625" style="1" customWidth="1"/>
    <col min="5629" max="5630" width="9.140625" style="1" bestFit="1" customWidth="1"/>
    <col min="5631" max="5632" width="11.140625" style="1" bestFit="1" customWidth="1"/>
    <col min="5633" max="5633" width="11.5703125" style="1" bestFit="1" customWidth="1"/>
    <col min="5634" max="5634" width="9.140625" style="1" bestFit="1" customWidth="1"/>
    <col min="5635" max="5635" width="10.28515625" style="1" customWidth="1"/>
    <col min="5636" max="5874" width="9.140625" style="1"/>
    <col min="5875" max="5875" width="4.28515625" style="1" bestFit="1" customWidth="1"/>
    <col min="5876" max="5876" width="6.85546875" style="1" bestFit="1" customWidth="1"/>
    <col min="5877" max="5877" width="11" style="1" customWidth="1"/>
    <col min="5878" max="5878" width="11.140625" style="1" bestFit="1" customWidth="1"/>
    <col min="5879" max="5879" width="10.85546875" style="1" customWidth="1"/>
    <col min="5880" max="5880" width="11.5703125" style="1" customWidth="1"/>
    <col min="5881" max="5881" width="11.140625" style="1" bestFit="1" customWidth="1"/>
    <col min="5882" max="5882" width="11" style="1" customWidth="1"/>
    <col min="5883" max="5883" width="10.42578125" style="1" customWidth="1"/>
    <col min="5884" max="5884" width="11.28515625" style="1" customWidth="1"/>
    <col min="5885" max="5886" width="9.140625" style="1" bestFit="1" customWidth="1"/>
    <col min="5887" max="5888" width="11.140625" style="1" bestFit="1" customWidth="1"/>
    <col min="5889" max="5889" width="11.5703125" style="1" bestFit="1" customWidth="1"/>
    <col min="5890" max="5890" width="9.140625" style="1" bestFit="1" customWidth="1"/>
    <col min="5891" max="5891" width="10.28515625" style="1" customWidth="1"/>
    <col min="5892" max="6130" width="9.140625" style="1"/>
    <col min="6131" max="6131" width="4.28515625" style="1" bestFit="1" customWidth="1"/>
    <col min="6132" max="6132" width="6.85546875" style="1" bestFit="1" customWidth="1"/>
    <col min="6133" max="6133" width="11" style="1" customWidth="1"/>
    <col min="6134" max="6134" width="11.140625" style="1" bestFit="1" customWidth="1"/>
    <col min="6135" max="6135" width="10.85546875" style="1" customWidth="1"/>
    <col min="6136" max="6136" width="11.5703125" style="1" customWidth="1"/>
    <col min="6137" max="6137" width="11.140625" style="1" bestFit="1" customWidth="1"/>
    <col min="6138" max="6138" width="11" style="1" customWidth="1"/>
    <col min="6139" max="6139" width="10.42578125" style="1" customWidth="1"/>
    <col min="6140" max="6140" width="11.28515625" style="1" customWidth="1"/>
    <col min="6141" max="6142" width="9.140625" style="1" bestFit="1" customWidth="1"/>
    <col min="6143" max="6144" width="11.140625" style="1" bestFit="1" customWidth="1"/>
    <col min="6145" max="6145" width="11.5703125" style="1" bestFit="1" customWidth="1"/>
    <col min="6146" max="6146" width="9.140625" style="1" bestFit="1" customWidth="1"/>
    <col min="6147" max="6147" width="10.28515625" style="1" customWidth="1"/>
    <col min="6148" max="6386" width="9.140625" style="1"/>
    <col min="6387" max="6387" width="4.28515625" style="1" bestFit="1" customWidth="1"/>
    <col min="6388" max="6388" width="6.85546875" style="1" bestFit="1" customWidth="1"/>
    <col min="6389" max="6389" width="11" style="1" customWidth="1"/>
    <col min="6390" max="6390" width="11.140625" style="1" bestFit="1" customWidth="1"/>
    <col min="6391" max="6391" width="10.85546875" style="1" customWidth="1"/>
    <col min="6392" max="6392" width="11.5703125" style="1" customWidth="1"/>
    <col min="6393" max="6393" width="11.140625" style="1" bestFit="1" customWidth="1"/>
    <col min="6394" max="6394" width="11" style="1" customWidth="1"/>
    <col min="6395" max="6395" width="10.42578125" style="1" customWidth="1"/>
    <col min="6396" max="6396" width="11.28515625" style="1" customWidth="1"/>
    <col min="6397" max="6398" width="9.140625" style="1" bestFit="1" customWidth="1"/>
    <col min="6399" max="6400" width="11.140625" style="1" bestFit="1" customWidth="1"/>
    <col min="6401" max="6401" width="11.5703125" style="1" bestFit="1" customWidth="1"/>
    <col min="6402" max="6402" width="9.140625" style="1" bestFit="1" customWidth="1"/>
    <col min="6403" max="6403" width="10.28515625" style="1" customWidth="1"/>
    <col min="6404" max="6642" width="9.140625" style="1"/>
    <col min="6643" max="6643" width="4.28515625" style="1" bestFit="1" customWidth="1"/>
    <col min="6644" max="6644" width="6.85546875" style="1" bestFit="1" customWidth="1"/>
    <col min="6645" max="6645" width="11" style="1" customWidth="1"/>
    <col min="6646" max="6646" width="11.140625" style="1" bestFit="1" customWidth="1"/>
    <col min="6647" max="6647" width="10.85546875" style="1" customWidth="1"/>
    <col min="6648" max="6648" width="11.5703125" style="1" customWidth="1"/>
    <col min="6649" max="6649" width="11.140625" style="1" bestFit="1" customWidth="1"/>
    <col min="6650" max="6650" width="11" style="1" customWidth="1"/>
    <col min="6651" max="6651" width="10.42578125" style="1" customWidth="1"/>
    <col min="6652" max="6652" width="11.28515625" style="1" customWidth="1"/>
    <col min="6653" max="6654" width="9.140625" style="1" bestFit="1" customWidth="1"/>
    <col min="6655" max="6656" width="11.140625" style="1" bestFit="1" customWidth="1"/>
    <col min="6657" max="6657" width="11.5703125" style="1" bestFit="1" customWidth="1"/>
    <col min="6658" max="6658" width="9.140625" style="1" bestFit="1" customWidth="1"/>
    <col min="6659" max="6659" width="10.28515625" style="1" customWidth="1"/>
    <col min="6660" max="6898" width="9.140625" style="1"/>
    <col min="6899" max="6899" width="4.28515625" style="1" bestFit="1" customWidth="1"/>
    <col min="6900" max="6900" width="6.85546875" style="1" bestFit="1" customWidth="1"/>
    <col min="6901" max="6901" width="11" style="1" customWidth="1"/>
    <col min="6902" max="6902" width="11.140625" style="1" bestFit="1" customWidth="1"/>
    <col min="6903" max="6903" width="10.85546875" style="1" customWidth="1"/>
    <col min="6904" max="6904" width="11.5703125" style="1" customWidth="1"/>
    <col min="6905" max="6905" width="11.140625" style="1" bestFit="1" customWidth="1"/>
    <col min="6906" max="6906" width="11" style="1" customWidth="1"/>
    <col min="6907" max="6907" width="10.42578125" style="1" customWidth="1"/>
    <col min="6908" max="6908" width="11.28515625" style="1" customWidth="1"/>
    <col min="6909" max="6910" width="9.140625" style="1" bestFit="1" customWidth="1"/>
    <col min="6911" max="6912" width="11.140625" style="1" bestFit="1" customWidth="1"/>
    <col min="6913" max="6913" width="11.5703125" style="1" bestFit="1" customWidth="1"/>
    <col min="6914" max="6914" width="9.140625" style="1" bestFit="1" customWidth="1"/>
    <col min="6915" max="6915" width="10.28515625" style="1" customWidth="1"/>
    <col min="6916" max="7154" width="9.140625" style="1"/>
    <col min="7155" max="7155" width="4.28515625" style="1" bestFit="1" customWidth="1"/>
    <col min="7156" max="7156" width="6.85546875" style="1" bestFit="1" customWidth="1"/>
    <col min="7157" max="7157" width="11" style="1" customWidth="1"/>
    <col min="7158" max="7158" width="11.140625" style="1" bestFit="1" customWidth="1"/>
    <col min="7159" max="7159" width="10.85546875" style="1" customWidth="1"/>
    <col min="7160" max="7160" width="11.5703125" style="1" customWidth="1"/>
    <col min="7161" max="7161" width="11.140625" style="1" bestFit="1" customWidth="1"/>
    <col min="7162" max="7162" width="11" style="1" customWidth="1"/>
    <col min="7163" max="7163" width="10.42578125" style="1" customWidth="1"/>
    <col min="7164" max="7164" width="11.28515625" style="1" customWidth="1"/>
    <col min="7165" max="7166" width="9.140625" style="1" bestFit="1" customWidth="1"/>
    <col min="7167" max="7168" width="11.140625" style="1" bestFit="1" customWidth="1"/>
    <col min="7169" max="7169" width="11.5703125" style="1" bestFit="1" customWidth="1"/>
    <col min="7170" max="7170" width="9.140625" style="1" bestFit="1" customWidth="1"/>
    <col min="7171" max="7171" width="10.28515625" style="1" customWidth="1"/>
    <col min="7172" max="7410" width="9.140625" style="1"/>
    <col min="7411" max="7411" width="4.28515625" style="1" bestFit="1" customWidth="1"/>
    <col min="7412" max="7412" width="6.85546875" style="1" bestFit="1" customWidth="1"/>
    <col min="7413" max="7413" width="11" style="1" customWidth="1"/>
    <col min="7414" max="7414" width="11.140625" style="1" bestFit="1" customWidth="1"/>
    <col min="7415" max="7415" width="10.85546875" style="1" customWidth="1"/>
    <col min="7416" max="7416" width="11.5703125" style="1" customWidth="1"/>
    <col min="7417" max="7417" width="11.140625" style="1" bestFit="1" customWidth="1"/>
    <col min="7418" max="7418" width="11" style="1" customWidth="1"/>
    <col min="7419" max="7419" width="10.42578125" style="1" customWidth="1"/>
    <col min="7420" max="7420" width="11.28515625" style="1" customWidth="1"/>
    <col min="7421" max="7422" width="9.140625" style="1" bestFit="1" customWidth="1"/>
    <col min="7423" max="7424" width="11.140625" style="1" bestFit="1" customWidth="1"/>
    <col min="7425" max="7425" width="11.5703125" style="1" bestFit="1" customWidth="1"/>
    <col min="7426" max="7426" width="9.140625" style="1" bestFit="1" customWidth="1"/>
    <col min="7427" max="7427" width="10.28515625" style="1" customWidth="1"/>
    <col min="7428" max="7666" width="9.140625" style="1"/>
    <col min="7667" max="7667" width="4.28515625" style="1" bestFit="1" customWidth="1"/>
    <col min="7668" max="7668" width="6.85546875" style="1" bestFit="1" customWidth="1"/>
    <col min="7669" max="7669" width="11" style="1" customWidth="1"/>
    <col min="7670" max="7670" width="11.140625" style="1" bestFit="1" customWidth="1"/>
    <col min="7671" max="7671" width="10.85546875" style="1" customWidth="1"/>
    <col min="7672" max="7672" width="11.5703125" style="1" customWidth="1"/>
    <col min="7673" max="7673" width="11.140625" style="1" bestFit="1" customWidth="1"/>
    <col min="7674" max="7674" width="11" style="1" customWidth="1"/>
    <col min="7675" max="7675" width="10.42578125" style="1" customWidth="1"/>
    <col min="7676" max="7676" width="11.28515625" style="1" customWidth="1"/>
    <col min="7677" max="7678" width="9.140625" style="1" bestFit="1" customWidth="1"/>
    <col min="7679" max="7680" width="11.140625" style="1" bestFit="1" customWidth="1"/>
    <col min="7681" max="7681" width="11.5703125" style="1" bestFit="1" customWidth="1"/>
    <col min="7682" max="7682" width="9.140625" style="1" bestFit="1" customWidth="1"/>
    <col min="7683" max="7683" width="10.28515625" style="1" customWidth="1"/>
    <col min="7684" max="7922" width="9.140625" style="1"/>
    <col min="7923" max="7923" width="4.28515625" style="1" bestFit="1" customWidth="1"/>
    <col min="7924" max="7924" width="6.85546875" style="1" bestFit="1" customWidth="1"/>
    <col min="7925" max="7925" width="11" style="1" customWidth="1"/>
    <col min="7926" max="7926" width="11.140625" style="1" bestFit="1" customWidth="1"/>
    <col min="7927" max="7927" width="10.85546875" style="1" customWidth="1"/>
    <col min="7928" max="7928" width="11.5703125" style="1" customWidth="1"/>
    <col min="7929" max="7929" width="11.140625" style="1" bestFit="1" customWidth="1"/>
    <col min="7930" max="7930" width="11" style="1" customWidth="1"/>
    <col min="7931" max="7931" width="10.42578125" style="1" customWidth="1"/>
    <col min="7932" max="7932" width="11.28515625" style="1" customWidth="1"/>
    <col min="7933" max="7934" width="9.140625" style="1" bestFit="1" customWidth="1"/>
    <col min="7935" max="7936" width="11.140625" style="1" bestFit="1" customWidth="1"/>
    <col min="7937" max="7937" width="11.5703125" style="1" bestFit="1" customWidth="1"/>
    <col min="7938" max="7938" width="9.140625" style="1" bestFit="1" customWidth="1"/>
    <col min="7939" max="7939" width="10.28515625" style="1" customWidth="1"/>
    <col min="7940" max="8178" width="9.140625" style="1"/>
    <col min="8179" max="8179" width="4.28515625" style="1" bestFit="1" customWidth="1"/>
    <col min="8180" max="8180" width="6.85546875" style="1" bestFit="1" customWidth="1"/>
    <col min="8181" max="8181" width="11" style="1" customWidth="1"/>
    <col min="8182" max="8182" width="11.140625" style="1" bestFit="1" customWidth="1"/>
    <col min="8183" max="8183" width="10.85546875" style="1" customWidth="1"/>
    <col min="8184" max="8184" width="11.5703125" style="1" customWidth="1"/>
    <col min="8185" max="8185" width="11.140625" style="1" bestFit="1" customWidth="1"/>
    <col min="8186" max="8186" width="11" style="1" customWidth="1"/>
    <col min="8187" max="8187" width="10.42578125" style="1" customWidth="1"/>
    <col min="8188" max="8188" width="11.28515625" style="1" customWidth="1"/>
    <col min="8189" max="8190" width="9.140625" style="1" bestFit="1" customWidth="1"/>
    <col min="8191" max="8192" width="11.140625" style="1" bestFit="1" customWidth="1"/>
    <col min="8193" max="8193" width="11.5703125" style="1" bestFit="1" customWidth="1"/>
    <col min="8194" max="8194" width="9.140625" style="1" bestFit="1" customWidth="1"/>
    <col min="8195" max="8195" width="10.28515625" style="1" customWidth="1"/>
    <col min="8196" max="8434" width="9.140625" style="1"/>
    <col min="8435" max="8435" width="4.28515625" style="1" bestFit="1" customWidth="1"/>
    <col min="8436" max="8436" width="6.85546875" style="1" bestFit="1" customWidth="1"/>
    <col min="8437" max="8437" width="11" style="1" customWidth="1"/>
    <col min="8438" max="8438" width="11.140625" style="1" bestFit="1" customWidth="1"/>
    <col min="8439" max="8439" width="10.85546875" style="1" customWidth="1"/>
    <col min="8440" max="8440" width="11.5703125" style="1" customWidth="1"/>
    <col min="8441" max="8441" width="11.140625" style="1" bestFit="1" customWidth="1"/>
    <col min="8442" max="8442" width="11" style="1" customWidth="1"/>
    <col min="8443" max="8443" width="10.42578125" style="1" customWidth="1"/>
    <col min="8444" max="8444" width="11.28515625" style="1" customWidth="1"/>
    <col min="8445" max="8446" width="9.140625" style="1" bestFit="1" customWidth="1"/>
    <col min="8447" max="8448" width="11.140625" style="1" bestFit="1" customWidth="1"/>
    <col min="8449" max="8449" width="11.5703125" style="1" bestFit="1" customWidth="1"/>
    <col min="8450" max="8450" width="9.140625" style="1" bestFit="1" customWidth="1"/>
    <col min="8451" max="8451" width="10.28515625" style="1" customWidth="1"/>
    <col min="8452" max="8690" width="9.140625" style="1"/>
    <col min="8691" max="8691" width="4.28515625" style="1" bestFit="1" customWidth="1"/>
    <col min="8692" max="8692" width="6.85546875" style="1" bestFit="1" customWidth="1"/>
    <col min="8693" max="8693" width="11" style="1" customWidth="1"/>
    <col min="8694" max="8694" width="11.140625" style="1" bestFit="1" customWidth="1"/>
    <col min="8695" max="8695" width="10.85546875" style="1" customWidth="1"/>
    <col min="8696" max="8696" width="11.5703125" style="1" customWidth="1"/>
    <col min="8697" max="8697" width="11.140625" style="1" bestFit="1" customWidth="1"/>
    <col min="8698" max="8698" width="11" style="1" customWidth="1"/>
    <col min="8699" max="8699" width="10.42578125" style="1" customWidth="1"/>
    <col min="8700" max="8700" width="11.28515625" style="1" customWidth="1"/>
    <col min="8701" max="8702" width="9.140625" style="1" bestFit="1" customWidth="1"/>
    <col min="8703" max="8704" width="11.140625" style="1" bestFit="1" customWidth="1"/>
    <col min="8705" max="8705" width="11.5703125" style="1" bestFit="1" customWidth="1"/>
    <col min="8706" max="8706" width="9.140625" style="1" bestFit="1" customWidth="1"/>
    <col min="8707" max="8707" width="10.28515625" style="1" customWidth="1"/>
    <col min="8708" max="8946" width="9.140625" style="1"/>
    <col min="8947" max="8947" width="4.28515625" style="1" bestFit="1" customWidth="1"/>
    <col min="8948" max="8948" width="6.85546875" style="1" bestFit="1" customWidth="1"/>
    <col min="8949" max="8949" width="11" style="1" customWidth="1"/>
    <col min="8950" max="8950" width="11.140625" style="1" bestFit="1" customWidth="1"/>
    <col min="8951" max="8951" width="10.85546875" style="1" customWidth="1"/>
    <col min="8952" max="8952" width="11.5703125" style="1" customWidth="1"/>
    <col min="8953" max="8953" width="11.140625" style="1" bestFit="1" customWidth="1"/>
    <col min="8954" max="8954" width="11" style="1" customWidth="1"/>
    <col min="8955" max="8955" width="10.42578125" style="1" customWidth="1"/>
    <col min="8956" max="8956" width="11.28515625" style="1" customWidth="1"/>
    <col min="8957" max="8958" width="9.140625" style="1" bestFit="1" customWidth="1"/>
    <col min="8959" max="8960" width="11.140625" style="1" bestFit="1" customWidth="1"/>
    <col min="8961" max="8961" width="11.5703125" style="1" bestFit="1" customWidth="1"/>
    <col min="8962" max="8962" width="9.140625" style="1" bestFit="1" customWidth="1"/>
    <col min="8963" max="8963" width="10.28515625" style="1" customWidth="1"/>
    <col min="8964" max="9202" width="9.140625" style="1"/>
    <col min="9203" max="9203" width="4.28515625" style="1" bestFit="1" customWidth="1"/>
    <col min="9204" max="9204" width="6.85546875" style="1" bestFit="1" customWidth="1"/>
    <col min="9205" max="9205" width="11" style="1" customWidth="1"/>
    <col min="9206" max="9206" width="11.140625" style="1" bestFit="1" customWidth="1"/>
    <col min="9207" max="9207" width="10.85546875" style="1" customWidth="1"/>
    <col min="9208" max="9208" width="11.5703125" style="1" customWidth="1"/>
    <col min="9209" max="9209" width="11.140625" style="1" bestFit="1" customWidth="1"/>
    <col min="9210" max="9210" width="11" style="1" customWidth="1"/>
    <col min="9211" max="9211" width="10.42578125" style="1" customWidth="1"/>
    <col min="9212" max="9212" width="11.28515625" style="1" customWidth="1"/>
    <col min="9213" max="9214" width="9.140625" style="1" bestFit="1" customWidth="1"/>
    <col min="9215" max="9216" width="11.140625" style="1" bestFit="1" customWidth="1"/>
    <col min="9217" max="9217" width="11.5703125" style="1" bestFit="1" customWidth="1"/>
    <col min="9218" max="9218" width="9.140625" style="1" bestFit="1" customWidth="1"/>
    <col min="9219" max="9219" width="10.28515625" style="1" customWidth="1"/>
    <col min="9220" max="9458" width="9.140625" style="1"/>
    <col min="9459" max="9459" width="4.28515625" style="1" bestFit="1" customWidth="1"/>
    <col min="9460" max="9460" width="6.85546875" style="1" bestFit="1" customWidth="1"/>
    <col min="9461" max="9461" width="11" style="1" customWidth="1"/>
    <col min="9462" max="9462" width="11.140625" style="1" bestFit="1" customWidth="1"/>
    <col min="9463" max="9463" width="10.85546875" style="1" customWidth="1"/>
    <col min="9464" max="9464" width="11.5703125" style="1" customWidth="1"/>
    <col min="9465" max="9465" width="11.140625" style="1" bestFit="1" customWidth="1"/>
    <col min="9466" max="9466" width="11" style="1" customWidth="1"/>
    <col min="9467" max="9467" width="10.42578125" style="1" customWidth="1"/>
    <col min="9468" max="9468" width="11.28515625" style="1" customWidth="1"/>
    <col min="9469" max="9470" width="9.140625" style="1" bestFit="1" customWidth="1"/>
    <col min="9471" max="9472" width="11.140625" style="1" bestFit="1" customWidth="1"/>
    <col min="9473" max="9473" width="11.5703125" style="1" bestFit="1" customWidth="1"/>
    <col min="9474" max="9474" width="9.140625" style="1" bestFit="1" customWidth="1"/>
    <col min="9475" max="9475" width="10.28515625" style="1" customWidth="1"/>
    <col min="9476" max="9714" width="9.140625" style="1"/>
    <col min="9715" max="9715" width="4.28515625" style="1" bestFit="1" customWidth="1"/>
    <col min="9716" max="9716" width="6.85546875" style="1" bestFit="1" customWidth="1"/>
    <col min="9717" max="9717" width="11" style="1" customWidth="1"/>
    <col min="9718" max="9718" width="11.140625" style="1" bestFit="1" customWidth="1"/>
    <col min="9719" max="9719" width="10.85546875" style="1" customWidth="1"/>
    <col min="9720" max="9720" width="11.5703125" style="1" customWidth="1"/>
    <col min="9721" max="9721" width="11.140625" style="1" bestFit="1" customWidth="1"/>
    <col min="9722" max="9722" width="11" style="1" customWidth="1"/>
    <col min="9723" max="9723" width="10.42578125" style="1" customWidth="1"/>
    <col min="9724" max="9724" width="11.28515625" style="1" customWidth="1"/>
    <col min="9725" max="9726" width="9.140625" style="1" bestFit="1" customWidth="1"/>
    <col min="9727" max="9728" width="11.140625" style="1" bestFit="1" customWidth="1"/>
    <col min="9729" max="9729" width="11.5703125" style="1" bestFit="1" customWidth="1"/>
    <col min="9730" max="9730" width="9.140625" style="1" bestFit="1" customWidth="1"/>
    <col min="9731" max="9731" width="10.28515625" style="1" customWidth="1"/>
    <col min="9732" max="9970" width="9.140625" style="1"/>
    <col min="9971" max="9971" width="4.28515625" style="1" bestFit="1" customWidth="1"/>
    <col min="9972" max="9972" width="6.85546875" style="1" bestFit="1" customWidth="1"/>
    <col min="9973" max="9973" width="11" style="1" customWidth="1"/>
    <col min="9974" max="9974" width="11.140625" style="1" bestFit="1" customWidth="1"/>
    <col min="9975" max="9975" width="10.85546875" style="1" customWidth="1"/>
    <col min="9976" max="9976" width="11.5703125" style="1" customWidth="1"/>
    <col min="9977" max="9977" width="11.140625" style="1" bestFit="1" customWidth="1"/>
    <col min="9978" max="9978" width="11" style="1" customWidth="1"/>
    <col min="9979" max="9979" width="10.42578125" style="1" customWidth="1"/>
    <col min="9980" max="9980" width="11.28515625" style="1" customWidth="1"/>
    <col min="9981" max="9982" width="9.140625" style="1" bestFit="1" customWidth="1"/>
    <col min="9983" max="9984" width="11.140625" style="1" bestFit="1" customWidth="1"/>
    <col min="9985" max="9985" width="11.5703125" style="1" bestFit="1" customWidth="1"/>
    <col min="9986" max="9986" width="9.140625" style="1" bestFit="1" customWidth="1"/>
    <col min="9987" max="9987" width="10.28515625" style="1" customWidth="1"/>
    <col min="9988" max="10226" width="9.140625" style="1"/>
    <col min="10227" max="10227" width="4.28515625" style="1" bestFit="1" customWidth="1"/>
    <col min="10228" max="10228" width="6.85546875" style="1" bestFit="1" customWidth="1"/>
    <col min="10229" max="10229" width="11" style="1" customWidth="1"/>
    <col min="10230" max="10230" width="11.140625" style="1" bestFit="1" customWidth="1"/>
    <col min="10231" max="10231" width="10.85546875" style="1" customWidth="1"/>
    <col min="10232" max="10232" width="11.5703125" style="1" customWidth="1"/>
    <col min="10233" max="10233" width="11.140625" style="1" bestFit="1" customWidth="1"/>
    <col min="10234" max="10234" width="11" style="1" customWidth="1"/>
    <col min="10235" max="10235" width="10.42578125" style="1" customWidth="1"/>
    <col min="10236" max="10236" width="11.28515625" style="1" customWidth="1"/>
    <col min="10237" max="10238" width="9.140625" style="1" bestFit="1" customWidth="1"/>
    <col min="10239" max="10240" width="11.140625" style="1" bestFit="1" customWidth="1"/>
    <col min="10241" max="10241" width="11.5703125" style="1" bestFit="1" customWidth="1"/>
    <col min="10242" max="10242" width="9.140625" style="1" bestFit="1" customWidth="1"/>
    <col min="10243" max="10243" width="10.28515625" style="1" customWidth="1"/>
    <col min="10244" max="10482" width="9.140625" style="1"/>
    <col min="10483" max="10483" width="4.28515625" style="1" bestFit="1" customWidth="1"/>
    <col min="10484" max="10484" width="6.85546875" style="1" bestFit="1" customWidth="1"/>
    <col min="10485" max="10485" width="11" style="1" customWidth="1"/>
    <col min="10486" max="10486" width="11.140625" style="1" bestFit="1" customWidth="1"/>
    <col min="10487" max="10487" width="10.85546875" style="1" customWidth="1"/>
    <col min="10488" max="10488" width="11.5703125" style="1" customWidth="1"/>
    <col min="10489" max="10489" width="11.140625" style="1" bestFit="1" customWidth="1"/>
    <col min="10490" max="10490" width="11" style="1" customWidth="1"/>
    <col min="10491" max="10491" width="10.42578125" style="1" customWidth="1"/>
    <col min="10492" max="10492" width="11.28515625" style="1" customWidth="1"/>
    <col min="10493" max="10494" width="9.140625" style="1" bestFit="1" customWidth="1"/>
    <col min="10495" max="10496" width="11.140625" style="1" bestFit="1" customWidth="1"/>
    <col min="10497" max="10497" width="11.5703125" style="1" bestFit="1" customWidth="1"/>
    <col min="10498" max="10498" width="9.140625" style="1" bestFit="1" customWidth="1"/>
    <col min="10499" max="10499" width="10.28515625" style="1" customWidth="1"/>
    <col min="10500" max="10738" width="9.140625" style="1"/>
    <col min="10739" max="10739" width="4.28515625" style="1" bestFit="1" customWidth="1"/>
    <col min="10740" max="10740" width="6.85546875" style="1" bestFit="1" customWidth="1"/>
    <col min="10741" max="10741" width="11" style="1" customWidth="1"/>
    <col min="10742" max="10742" width="11.140625" style="1" bestFit="1" customWidth="1"/>
    <col min="10743" max="10743" width="10.85546875" style="1" customWidth="1"/>
    <col min="10744" max="10744" width="11.5703125" style="1" customWidth="1"/>
    <col min="10745" max="10745" width="11.140625" style="1" bestFit="1" customWidth="1"/>
    <col min="10746" max="10746" width="11" style="1" customWidth="1"/>
    <col min="10747" max="10747" width="10.42578125" style="1" customWidth="1"/>
    <col min="10748" max="10748" width="11.28515625" style="1" customWidth="1"/>
    <col min="10749" max="10750" width="9.140625" style="1" bestFit="1" customWidth="1"/>
    <col min="10751" max="10752" width="11.140625" style="1" bestFit="1" customWidth="1"/>
    <col min="10753" max="10753" width="11.5703125" style="1" bestFit="1" customWidth="1"/>
    <col min="10754" max="10754" width="9.140625" style="1" bestFit="1" customWidth="1"/>
    <col min="10755" max="10755" width="10.28515625" style="1" customWidth="1"/>
    <col min="10756" max="10994" width="9.140625" style="1"/>
    <col min="10995" max="10995" width="4.28515625" style="1" bestFit="1" customWidth="1"/>
    <col min="10996" max="10996" width="6.85546875" style="1" bestFit="1" customWidth="1"/>
    <col min="10997" max="10997" width="11" style="1" customWidth="1"/>
    <col min="10998" max="10998" width="11.140625" style="1" bestFit="1" customWidth="1"/>
    <col min="10999" max="10999" width="10.85546875" style="1" customWidth="1"/>
    <col min="11000" max="11000" width="11.5703125" style="1" customWidth="1"/>
    <col min="11001" max="11001" width="11.140625" style="1" bestFit="1" customWidth="1"/>
    <col min="11002" max="11002" width="11" style="1" customWidth="1"/>
    <col min="11003" max="11003" width="10.42578125" style="1" customWidth="1"/>
    <col min="11004" max="11004" width="11.28515625" style="1" customWidth="1"/>
    <col min="11005" max="11006" width="9.140625" style="1" bestFit="1" customWidth="1"/>
    <col min="11007" max="11008" width="11.140625" style="1" bestFit="1" customWidth="1"/>
    <col min="11009" max="11009" width="11.5703125" style="1" bestFit="1" customWidth="1"/>
    <col min="11010" max="11010" width="9.140625" style="1" bestFit="1" customWidth="1"/>
    <col min="11011" max="11011" width="10.28515625" style="1" customWidth="1"/>
    <col min="11012" max="11250" width="9.140625" style="1"/>
    <col min="11251" max="11251" width="4.28515625" style="1" bestFit="1" customWidth="1"/>
    <col min="11252" max="11252" width="6.85546875" style="1" bestFit="1" customWidth="1"/>
    <col min="11253" max="11253" width="11" style="1" customWidth="1"/>
    <col min="11254" max="11254" width="11.140625" style="1" bestFit="1" customWidth="1"/>
    <col min="11255" max="11255" width="10.85546875" style="1" customWidth="1"/>
    <col min="11256" max="11256" width="11.5703125" style="1" customWidth="1"/>
    <col min="11257" max="11257" width="11.140625" style="1" bestFit="1" customWidth="1"/>
    <col min="11258" max="11258" width="11" style="1" customWidth="1"/>
    <col min="11259" max="11259" width="10.42578125" style="1" customWidth="1"/>
    <col min="11260" max="11260" width="11.28515625" style="1" customWidth="1"/>
    <col min="11261" max="11262" width="9.140625" style="1" bestFit="1" customWidth="1"/>
    <col min="11263" max="11264" width="11.140625" style="1" bestFit="1" customWidth="1"/>
    <col min="11265" max="11265" width="11.5703125" style="1" bestFit="1" customWidth="1"/>
    <col min="11266" max="11266" width="9.140625" style="1" bestFit="1" customWidth="1"/>
    <col min="11267" max="11267" width="10.28515625" style="1" customWidth="1"/>
    <col min="11268" max="11506" width="9.140625" style="1"/>
    <col min="11507" max="11507" width="4.28515625" style="1" bestFit="1" customWidth="1"/>
    <col min="11508" max="11508" width="6.85546875" style="1" bestFit="1" customWidth="1"/>
    <col min="11509" max="11509" width="11" style="1" customWidth="1"/>
    <col min="11510" max="11510" width="11.140625" style="1" bestFit="1" customWidth="1"/>
    <col min="11511" max="11511" width="10.85546875" style="1" customWidth="1"/>
    <col min="11512" max="11512" width="11.5703125" style="1" customWidth="1"/>
    <col min="11513" max="11513" width="11.140625" style="1" bestFit="1" customWidth="1"/>
    <col min="11514" max="11514" width="11" style="1" customWidth="1"/>
    <col min="11515" max="11515" width="10.42578125" style="1" customWidth="1"/>
    <col min="11516" max="11516" width="11.28515625" style="1" customWidth="1"/>
    <col min="11517" max="11518" width="9.140625" style="1" bestFit="1" customWidth="1"/>
    <col min="11519" max="11520" width="11.140625" style="1" bestFit="1" customWidth="1"/>
    <col min="11521" max="11521" width="11.5703125" style="1" bestFit="1" customWidth="1"/>
    <col min="11522" max="11522" width="9.140625" style="1" bestFit="1" customWidth="1"/>
    <col min="11523" max="11523" width="10.28515625" style="1" customWidth="1"/>
    <col min="11524" max="11762" width="9.140625" style="1"/>
    <col min="11763" max="11763" width="4.28515625" style="1" bestFit="1" customWidth="1"/>
    <col min="11764" max="11764" width="6.85546875" style="1" bestFit="1" customWidth="1"/>
    <col min="11765" max="11765" width="11" style="1" customWidth="1"/>
    <col min="11766" max="11766" width="11.140625" style="1" bestFit="1" customWidth="1"/>
    <col min="11767" max="11767" width="10.85546875" style="1" customWidth="1"/>
    <col min="11768" max="11768" width="11.5703125" style="1" customWidth="1"/>
    <col min="11769" max="11769" width="11.140625" style="1" bestFit="1" customWidth="1"/>
    <col min="11770" max="11770" width="11" style="1" customWidth="1"/>
    <col min="11771" max="11771" width="10.42578125" style="1" customWidth="1"/>
    <col min="11772" max="11772" width="11.28515625" style="1" customWidth="1"/>
    <col min="11773" max="11774" width="9.140625" style="1" bestFit="1" customWidth="1"/>
    <col min="11775" max="11776" width="11.140625" style="1" bestFit="1" customWidth="1"/>
    <col min="11777" max="11777" width="11.5703125" style="1" bestFit="1" customWidth="1"/>
    <col min="11778" max="11778" width="9.140625" style="1" bestFit="1" customWidth="1"/>
    <col min="11779" max="11779" width="10.28515625" style="1" customWidth="1"/>
    <col min="11780" max="12018" width="9.140625" style="1"/>
    <col min="12019" max="12019" width="4.28515625" style="1" bestFit="1" customWidth="1"/>
    <col min="12020" max="12020" width="6.85546875" style="1" bestFit="1" customWidth="1"/>
    <col min="12021" max="12021" width="11" style="1" customWidth="1"/>
    <col min="12022" max="12022" width="11.140625" style="1" bestFit="1" customWidth="1"/>
    <col min="12023" max="12023" width="10.85546875" style="1" customWidth="1"/>
    <col min="12024" max="12024" width="11.5703125" style="1" customWidth="1"/>
    <col min="12025" max="12025" width="11.140625" style="1" bestFit="1" customWidth="1"/>
    <col min="12026" max="12026" width="11" style="1" customWidth="1"/>
    <col min="12027" max="12027" width="10.42578125" style="1" customWidth="1"/>
    <col min="12028" max="12028" width="11.28515625" style="1" customWidth="1"/>
    <col min="12029" max="12030" width="9.140625" style="1" bestFit="1" customWidth="1"/>
    <col min="12031" max="12032" width="11.140625" style="1" bestFit="1" customWidth="1"/>
    <col min="12033" max="12033" width="11.5703125" style="1" bestFit="1" customWidth="1"/>
    <col min="12034" max="12034" width="9.140625" style="1" bestFit="1" customWidth="1"/>
    <col min="12035" max="12035" width="10.28515625" style="1" customWidth="1"/>
    <col min="12036" max="12274" width="9.140625" style="1"/>
    <col min="12275" max="12275" width="4.28515625" style="1" bestFit="1" customWidth="1"/>
    <col min="12276" max="12276" width="6.85546875" style="1" bestFit="1" customWidth="1"/>
    <col min="12277" max="12277" width="11" style="1" customWidth="1"/>
    <col min="12278" max="12278" width="11.140625" style="1" bestFit="1" customWidth="1"/>
    <col min="12279" max="12279" width="10.85546875" style="1" customWidth="1"/>
    <col min="12280" max="12280" width="11.5703125" style="1" customWidth="1"/>
    <col min="12281" max="12281" width="11.140625" style="1" bestFit="1" customWidth="1"/>
    <col min="12282" max="12282" width="11" style="1" customWidth="1"/>
    <col min="12283" max="12283" width="10.42578125" style="1" customWidth="1"/>
    <col min="12284" max="12284" width="11.28515625" style="1" customWidth="1"/>
    <col min="12285" max="12286" width="9.140625" style="1" bestFit="1" customWidth="1"/>
    <col min="12287" max="12288" width="11.140625" style="1" bestFit="1" customWidth="1"/>
    <col min="12289" max="12289" width="11.5703125" style="1" bestFit="1" customWidth="1"/>
    <col min="12290" max="12290" width="9.140625" style="1" bestFit="1" customWidth="1"/>
    <col min="12291" max="12291" width="10.28515625" style="1" customWidth="1"/>
    <col min="12292" max="12530" width="9.140625" style="1"/>
    <col min="12531" max="12531" width="4.28515625" style="1" bestFit="1" customWidth="1"/>
    <col min="12532" max="12532" width="6.85546875" style="1" bestFit="1" customWidth="1"/>
    <col min="12533" max="12533" width="11" style="1" customWidth="1"/>
    <col min="12534" max="12534" width="11.140625" style="1" bestFit="1" customWidth="1"/>
    <col min="12535" max="12535" width="10.85546875" style="1" customWidth="1"/>
    <col min="12536" max="12536" width="11.5703125" style="1" customWidth="1"/>
    <col min="12537" max="12537" width="11.140625" style="1" bestFit="1" customWidth="1"/>
    <col min="12538" max="12538" width="11" style="1" customWidth="1"/>
    <col min="12539" max="12539" width="10.42578125" style="1" customWidth="1"/>
    <col min="12540" max="12540" width="11.28515625" style="1" customWidth="1"/>
    <col min="12541" max="12542" width="9.140625" style="1" bestFit="1" customWidth="1"/>
    <col min="12543" max="12544" width="11.140625" style="1" bestFit="1" customWidth="1"/>
    <col min="12545" max="12545" width="11.5703125" style="1" bestFit="1" customWidth="1"/>
    <col min="12546" max="12546" width="9.140625" style="1" bestFit="1" customWidth="1"/>
    <col min="12547" max="12547" width="10.28515625" style="1" customWidth="1"/>
    <col min="12548" max="12786" width="9.140625" style="1"/>
    <col min="12787" max="12787" width="4.28515625" style="1" bestFit="1" customWidth="1"/>
    <col min="12788" max="12788" width="6.85546875" style="1" bestFit="1" customWidth="1"/>
    <col min="12789" max="12789" width="11" style="1" customWidth="1"/>
    <col min="12790" max="12790" width="11.140625" style="1" bestFit="1" customWidth="1"/>
    <col min="12791" max="12791" width="10.85546875" style="1" customWidth="1"/>
    <col min="12792" max="12792" width="11.5703125" style="1" customWidth="1"/>
    <col min="12793" max="12793" width="11.140625" style="1" bestFit="1" customWidth="1"/>
    <col min="12794" max="12794" width="11" style="1" customWidth="1"/>
    <col min="12795" max="12795" width="10.42578125" style="1" customWidth="1"/>
    <col min="12796" max="12796" width="11.28515625" style="1" customWidth="1"/>
    <col min="12797" max="12798" width="9.140625" style="1" bestFit="1" customWidth="1"/>
    <col min="12799" max="12800" width="11.140625" style="1" bestFit="1" customWidth="1"/>
    <col min="12801" max="12801" width="11.5703125" style="1" bestFit="1" customWidth="1"/>
    <col min="12802" max="12802" width="9.140625" style="1" bestFit="1" customWidth="1"/>
    <col min="12803" max="12803" width="10.28515625" style="1" customWidth="1"/>
    <col min="12804" max="13042" width="9.140625" style="1"/>
    <col min="13043" max="13043" width="4.28515625" style="1" bestFit="1" customWidth="1"/>
    <col min="13044" max="13044" width="6.85546875" style="1" bestFit="1" customWidth="1"/>
    <col min="13045" max="13045" width="11" style="1" customWidth="1"/>
    <col min="13046" max="13046" width="11.140625" style="1" bestFit="1" customWidth="1"/>
    <col min="13047" max="13047" width="10.85546875" style="1" customWidth="1"/>
    <col min="13048" max="13048" width="11.5703125" style="1" customWidth="1"/>
    <col min="13049" max="13049" width="11.140625" style="1" bestFit="1" customWidth="1"/>
    <col min="13050" max="13050" width="11" style="1" customWidth="1"/>
    <col min="13051" max="13051" width="10.42578125" style="1" customWidth="1"/>
    <col min="13052" max="13052" width="11.28515625" style="1" customWidth="1"/>
    <col min="13053" max="13054" width="9.140625" style="1" bestFit="1" customWidth="1"/>
    <col min="13055" max="13056" width="11.140625" style="1" bestFit="1" customWidth="1"/>
    <col min="13057" max="13057" width="11.5703125" style="1" bestFit="1" customWidth="1"/>
    <col min="13058" max="13058" width="9.140625" style="1" bestFit="1" customWidth="1"/>
    <col min="13059" max="13059" width="10.28515625" style="1" customWidth="1"/>
    <col min="13060" max="13298" width="9.140625" style="1"/>
    <col min="13299" max="13299" width="4.28515625" style="1" bestFit="1" customWidth="1"/>
    <col min="13300" max="13300" width="6.85546875" style="1" bestFit="1" customWidth="1"/>
    <col min="13301" max="13301" width="11" style="1" customWidth="1"/>
    <col min="13302" max="13302" width="11.140625" style="1" bestFit="1" customWidth="1"/>
    <col min="13303" max="13303" width="10.85546875" style="1" customWidth="1"/>
    <col min="13304" max="13304" width="11.5703125" style="1" customWidth="1"/>
    <col min="13305" max="13305" width="11.140625" style="1" bestFit="1" customWidth="1"/>
    <col min="13306" max="13306" width="11" style="1" customWidth="1"/>
    <col min="13307" max="13307" width="10.42578125" style="1" customWidth="1"/>
    <col min="13308" max="13308" width="11.28515625" style="1" customWidth="1"/>
    <col min="13309" max="13310" width="9.140625" style="1" bestFit="1" customWidth="1"/>
    <col min="13311" max="13312" width="11.140625" style="1" bestFit="1" customWidth="1"/>
    <col min="13313" max="13313" width="11.5703125" style="1" bestFit="1" customWidth="1"/>
    <col min="13314" max="13314" width="9.140625" style="1" bestFit="1" customWidth="1"/>
    <col min="13315" max="13315" width="10.28515625" style="1" customWidth="1"/>
    <col min="13316" max="13554" width="9.140625" style="1"/>
    <col min="13555" max="13555" width="4.28515625" style="1" bestFit="1" customWidth="1"/>
    <col min="13556" max="13556" width="6.85546875" style="1" bestFit="1" customWidth="1"/>
    <col min="13557" max="13557" width="11" style="1" customWidth="1"/>
    <col min="13558" max="13558" width="11.140625" style="1" bestFit="1" customWidth="1"/>
    <col min="13559" max="13559" width="10.85546875" style="1" customWidth="1"/>
    <col min="13560" max="13560" width="11.5703125" style="1" customWidth="1"/>
    <col min="13561" max="13561" width="11.140625" style="1" bestFit="1" customWidth="1"/>
    <col min="13562" max="13562" width="11" style="1" customWidth="1"/>
    <col min="13563" max="13563" width="10.42578125" style="1" customWidth="1"/>
    <col min="13564" max="13564" width="11.28515625" style="1" customWidth="1"/>
    <col min="13565" max="13566" width="9.140625" style="1" bestFit="1" customWidth="1"/>
    <col min="13567" max="13568" width="11.140625" style="1" bestFit="1" customWidth="1"/>
    <col min="13569" max="13569" width="11.5703125" style="1" bestFit="1" customWidth="1"/>
    <col min="13570" max="13570" width="9.140625" style="1" bestFit="1" customWidth="1"/>
    <col min="13571" max="13571" width="10.28515625" style="1" customWidth="1"/>
    <col min="13572" max="13810" width="9.140625" style="1"/>
    <col min="13811" max="13811" width="4.28515625" style="1" bestFit="1" customWidth="1"/>
    <col min="13812" max="13812" width="6.85546875" style="1" bestFit="1" customWidth="1"/>
    <col min="13813" max="13813" width="11" style="1" customWidth="1"/>
    <col min="13814" max="13814" width="11.140625" style="1" bestFit="1" customWidth="1"/>
    <col min="13815" max="13815" width="10.85546875" style="1" customWidth="1"/>
    <col min="13816" max="13816" width="11.5703125" style="1" customWidth="1"/>
    <col min="13817" max="13817" width="11.140625" style="1" bestFit="1" customWidth="1"/>
    <col min="13818" max="13818" width="11" style="1" customWidth="1"/>
    <col min="13819" max="13819" width="10.42578125" style="1" customWidth="1"/>
    <col min="13820" max="13820" width="11.28515625" style="1" customWidth="1"/>
    <col min="13821" max="13822" width="9.140625" style="1" bestFit="1" customWidth="1"/>
    <col min="13823" max="13824" width="11.140625" style="1" bestFit="1" customWidth="1"/>
    <col min="13825" max="13825" width="11.5703125" style="1" bestFit="1" customWidth="1"/>
    <col min="13826" max="13826" width="9.140625" style="1" bestFit="1" customWidth="1"/>
    <col min="13827" max="13827" width="10.28515625" style="1" customWidth="1"/>
    <col min="13828" max="14066" width="9.140625" style="1"/>
    <col min="14067" max="14067" width="4.28515625" style="1" bestFit="1" customWidth="1"/>
    <col min="14068" max="14068" width="6.85546875" style="1" bestFit="1" customWidth="1"/>
    <col min="14069" max="14069" width="11" style="1" customWidth="1"/>
    <col min="14070" max="14070" width="11.140625" style="1" bestFit="1" customWidth="1"/>
    <col min="14071" max="14071" width="10.85546875" style="1" customWidth="1"/>
    <col min="14072" max="14072" width="11.5703125" style="1" customWidth="1"/>
    <col min="14073" max="14073" width="11.140625" style="1" bestFit="1" customWidth="1"/>
    <col min="14074" max="14074" width="11" style="1" customWidth="1"/>
    <col min="14075" max="14075" width="10.42578125" style="1" customWidth="1"/>
    <col min="14076" max="14076" width="11.28515625" style="1" customWidth="1"/>
    <col min="14077" max="14078" width="9.140625" style="1" bestFit="1" customWidth="1"/>
    <col min="14079" max="14080" width="11.140625" style="1" bestFit="1" customWidth="1"/>
    <col min="14081" max="14081" width="11.5703125" style="1" bestFit="1" customWidth="1"/>
    <col min="14082" max="14082" width="9.140625" style="1" bestFit="1" customWidth="1"/>
    <col min="14083" max="14083" width="10.28515625" style="1" customWidth="1"/>
    <col min="14084" max="14322" width="9.140625" style="1"/>
    <col min="14323" max="14323" width="4.28515625" style="1" bestFit="1" customWidth="1"/>
    <col min="14324" max="14324" width="6.85546875" style="1" bestFit="1" customWidth="1"/>
    <col min="14325" max="14325" width="11" style="1" customWidth="1"/>
    <col min="14326" max="14326" width="11.140625" style="1" bestFit="1" customWidth="1"/>
    <col min="14327" max="14327" width="10.85546875" style="1" customWidth="1"/>
    <col min="14328" max="14328" width="11.5703125" style="1" customWidth="1"/>
    <col min="14329" max="14329" width="11.140625" style="1" bestFit="1" customWidth="1"/>
    <col min="14330" max="14330" width="11" style="1" customWidth="1"/>
    <col min="14331" max="14331" width="10.42578125" style="1" customWidth="1"/>
    <col min="14332" max="14332" width="11.28515625" style="1" customWidth="1"/>
    <col min="14333" max="14334" width="9.140625" style="1" bestFit="1" customWidth="1"/>
    <col min="14335" max="14336" width="11.140625" style="1" bestFit="1" customWidth="1"/>
    <col min="14337" max="14337" width="11.5703125" style="1" bestFit="1" customWidth="1"/>
    <col min="14338" max="14338" width="9.140625" style="1" bestFit="1" customWidth="1"/>
    <col min="14339" max="14339" width="10.28515625" style="1" customWidth="1"/>
    <col min="14340" max="14578" width="9.140625" style="1"/>
    <col min="14579" max="14579" width="4.28515625" style="1" bestFit="1" customWidth="1"/>
    <col min="14580" max="14580" width="6.85546875" style="1" bestFit="1" customWidth="1"/>
    <col min="14581" max="14581" width="11" style="1" customWidth="1"/>
    <col min="14582" max="14582" width="11.140625" style="1" bestFit="1" customWidth="1"/>
    <col min="14583" max="14583" width="10.85546875" style="1" customWidth="1"/>
    <col min="14584" max="14584" width="11.5703125" style="1" customWidth="1"/>
    <col min="14585" max="14585" width="11.140625" style="1" bestFit="1" customWidth="1"/>
    <col min="14586" max="14586" width="11" style="1" customWidth="1"/>
    <col min="14587" max="14587" width="10.42578125" style="1" customWidth="1"/>
    <col min="14588" max="14588" width="11.28515625" style="1" customWidth="1"/>
    <col min="14589" max="14590" width="9.140625" style="1" bestFit="1" customWidth="1"/>
    <col min="14591" max="14592" width="11.140625" style="1" bestFit="1" customWidth="1"/>
    <col min="14593" max="14593" width="11.5703125" style="1" bestFit="1" customWidth="1"/>
    <col min="14594" max="14594" width="9.140625" style="1" bestFit="1" customWidth="1"/>
    <col min="14595" max="14595" width="10.28515625" style="1" customWidth="1"/>
    <col min="14596" max="14834" width="9.140625" style="1"/>
    <col min="14835" max="14835" width="4.28515625" style="1" bestFit="1" customWidth="1"/>
    <col min="14836" max="14836" width="6.85546875" style="1" bestFit="1" customWidth="1"/>
    <col min="14837" max="14837" width="11" style="1" customWidth="1"/>
    <col min="14838" max="14838" width="11.140625" style="1" bestFit="1" customWidth="1"/>
    <col min="14839" max="14839" width="10.85546875" style="1" customWidth="1"/>
    <col min="14840" max="14840" width="11.5703125" style="1" customWidth="1"/>
    <col min="14841" max="14841" width="11.140625" style="1" bestFit="1" customWidth="1"/>
    <col min="14842" max="14842" width="11" style="1" customWidth="1"/>
    <col min="14843" max="14843" width="10.42578125" style="1" customWidth="1"/>
    <col min="14844" max="14844" width="11.28515625" style="1" customWidth="1"/>
    <col min="14845" max="14846" width="9.140625" style="1" bestFit="1" customWidth="1"/>
    <col min="14847" max="14848" width="11.140625" style="1" bestFit="1" customWidth="1"/>
    <col min="14849" max="14849" width="11.5703125" style="1" bestFit="1" customWidth="1"/>
    <col min="14850" max="14850" width="9.140625" style="1" bestFit="1" customWidth="1"/>
    <col min="14851" max="14851" width="10.28515625" style="1" customWidth="1"/>
    <col min="14852" max="15090" width="9.140625" style="1"/>
    <col min="15091" max="15091" width="4.28515625" style="1" bestFit="1" customWidth="1"/>
    <col min="15092" max="15092" width="6.85546875" style="1" bestFit="1" customWidth="1"/>
    <col min="15093" max="15093" width="11" style="1" customWidth="1"/>
    <col min="15094" max="15094" width="11.140625" style="1" bestFit="1" customWidth="1"/>
    <col min="15095" max="15095" width="10.85546875" style="1" customWidth="1"/>
    <col min="15096" max="15096" width="11.5703125" style="1" customWidth="1"/>
    <col min="15097" max="15097" width="11.140625" style="1" bestFit="1" customWidth="1"/>
    <col min="15098" max="15098" width="11" style="1" customWidth="1"/>
    <col min="15099" max="15099" width="10.42578125" style="1" customWidth="1"/>
    <col min="15100" max="15100" width="11.28515625" style="1" customWidth="1"/>
    <col min="15101" max="15102" width="9.140625" style="1" bestFit="1" customWidth="1"/>
    <col min="15103" max="15104" width="11.140625" style="1" bestFit="1" customWidth="1"/>
    <col min="15105" max="15105" width="11.5703125" style="1" bestFit="1" customWidth="1"/>
    <col min="15106" max="15106" width="9.140625" style="1" bestFit="1" customWidth="1"/>
    <col min="15107" max="15107" width="10.28515625" style="1" customWidth="1"/>
    <col min="15108" max="15346" width="9.140625" style="1"/>
    <col min="15347" max="15347" width="4.28515625" style="1" bestFit="1" customWidth="1"/>
    <col min="15348" max="15348" width="6.85546875" style="1" bestFit="1" customWidth="1"/>
    <col min="15349" max="15349" width="11" style="1" customWidth="1"/>
    <col min="15350" max="15350" width="11.140625" style="1" bestFit="1" customWidth="1"/>
    <col min="15351" max="15351" width="10.85546875" style="1" customWidth="1"/>
    <col min="15352" max="15352" width="11.5703125" style="1" customWidth="1"/>
    <col min="15353" max="15353" width="11.140625" style="1" bestFit="1" customWidth="1"/>
    <col min="15354" max="15354" width="11" style="1" customWidth="1"/>
    <col min="15355" max="15355" width="10.42578125" style="1" customWidth="1"/>
    <col min="15356" max="15356" width="11.28515625" style="1" customWidth="1"/>
    <col min="15357" max="15358" width="9.140625" style="1" bestFit="1" customWidth="1"/>
    <col min="15359" max="15360" width="11.140625" style="1" bestFit="1" customWidth="1"/>
    <col min="15361" max="15361" width="11.5703125" style="1" bestFit="1" customWidth="1"/>
    <col min="15362" max="15362" width="9.140625" style="1" bestFit="1" customWidth="1"/>
    <col min="15363" max="15363" width="10.28515625" style="1" customWidth="1"/>
    <col min="15364" max="15602" width="9.140625" style="1"/>
    <col min="15603" max="15603" width="4.28515625" style="1" bestFit="1" customWidth="1"/>
    <col min="15604" max="15604" width="6.85546875" style="1" bestFit="1" customWidth="1"/>
    <col min="15605" max="15605" width="11" style="1" customWidth="1"/>
    <col min="15606" max="15606" width="11.140625" style="1" bestFit="1" customWidth="1"/>
    <col min="15607" max="15607" width="10.85546875" style="1" customWidth="1"/>
    <col min="15608" max="15608" width="11.5703125" style="1" customWidth="1"/>
    <col min="15609" max="15609" width="11.140625" style="1" bestFit="1" customWidth="1"/>
    <col min="15610" max="15610" width="11" style="1" customWidth="1"/>
    <col min="15611" max="15611" width="10.42578125" style="1" customWidth="1"/>
    <col min="15612" max="15612" width="11.28515625" style="1" customWidth="1"/>
    <col min="15613" max="15614" width="9.140625" style="1" bestFit="1" customWidth="1"/>
    <col min="15615" max="15616" width="11.140625" style="1" bestFit="1" customWidth="1"/>
    <col min="15617" max="15617" width="11.5703125" style="1" bestFit="1" customWidth="1"/>
    <col min="15618" max="15618" width="9.140625" style="1" bestFit="1" customWidth="1"/>
    <col min="15619" max="15619" width="10.28515625" style="1" customWidth="1"/>
    <col min="15620" max="15858" width="9.140625" style="1"/>
    <col min="15859" max="15859" width="4.28515625" style="1" bestFit="1" customWidth="1"/>
    <col min="15860" max="15860" width="6.85546875" style="1" bestFit="1" customWidth="1"/>
    <col min="15861" max="15861" width="11" style="1" customWidth="1"/>
    <col min="15862" max="15862" width="11.140625" style="1" bestFit="1" customWidth="1"/>
    <col min="15863" max="15863" width="10.85546875" style="1" customWidth="1"/>
    <col min="15864" max="15864" width="11.5703125" style="1" customWidth="1"/>
    <col min="15865" max="15865" width="11.140625" style="1" bestFit="1" customWidth="1"/>
    <col min="15866" max="15866" width="11" style="1" customWidth="1"/>
    <col min="15867" max="15867" width="10.42578125" style="1" customWidth="1"/>
    <col min="15868" max="15868" width="11.28515625" style="1" customWidth="1"/>
    <col min="15869" max="15870" width="9.140625" style="1" bestFit="1" customWidth="1"/>
    <col min="15871" max="15872" width="11.140625" style="1" bestFit="1" customWidth="1"/>
    <col min="15873" max="15873" width="11.5703125" style="1" bestFit="1" customWidth="1"/>
    <col min="15874" max="15874" width="9.140625" style="1" bestFit="1" customWidth="1"/>
    <col min="15875" max="15875" width="10.28515625" style="1" customWidth="1"/>
    <col min="15876" max="16114" width="9.140625" style="1"/>
    <col min="16115" max="16115" width="4.28515625" style="1" bestFit="1" customWidth="1"/>
    <col min="16116" max="16116" width="6.85546875" style="1" bestFit="1" customWidth="1"/>
    <col min="16117" max="16117" width="11" style="1" customWidth="1"/>
    <col min="16118" max="16118" width="11.140625" style="1" bestFit="1" customWidth="1"/>
    <col min="16119" max="16119" width="10.85546875" style="1" customWidth="1"/>
    <col min="16120" max="16120" width="11.5703125" style="1" customWidth="1"/>
    <col min="16121" max="16121" width="11.140625" style="1" bestFit="1" customWidth="1"/>
    <col min="16122" max="16122" width="11" style="1" customWidth="1"/>
    <col min="16123" max="16123" width="10.42578125" style="1" customWidth="1"/>
    <col min="16124" max="16124" width="11.28515625" style="1" customWidth="1"/>
    <col min="16125" max="16126" width="9.140625" style="1" bestFit="1" customWidth="1"/>
    <col min="16127" max="16128" width="11.140625" style="1" bestFit="1" customWidth="1"/>
    <col min="16129" max="16129" width="11.5703125" style="1" bestFit="1" customWidth="1"/>
    <col min="16130" max="16130" width="9.140625" style="1" bestFit="1" customWidth="1"/>
    <col min="16131" max="16131" width="10.28515625" style="1" customWidth="1"/>
    <col min="16132" max="16384" width="9.140625" style="1"/>
  </cols>
  <sheetData>
    <row r="1" spans="1:226" ht="45" customHeight="1">
      <c r="A1" s="8"/>
      <c r="B1" s="8"/>
      <c r="C1" s="8"/>
      <c r="D1" s="8"/>
      <c r="E1" s="8"/>
      <c r="F1" s="8"/>
      <c r="G1" s="8"/>
      <c r="H1" s="1552" t="s">
        <v>1060</v>
      </c>
      <c r="I1" s="1552"/>
      <c r="J1" s="1552"/>
    </row>
    <row r="2" spans="1:226" ht="69.95" customHeight="1">
      <c r="A2" s="1524" t="s">
        <v>1016</v>
      </c>
      <c r="B2" s="1524"/>
      <c r="C2" s="1524"/>
      <c r="D2" s="1524"/>
      <c r="E2" s="1524"/>
      <c r="F2" s="1524"/>
      <c r="G2" s="1524"/>
      <c r="H2" s="1524"/>
      <c r="I2" s="1524"/>
      <c r="J2" s="1524"/>
    </row>
    <row r="3" spans="1:226" ht="14.25" customHeight="1" thickBot="1">
      <c r="A3" s="1525" t="s">
        <v>45</v>
      </c>
      <c r="B3" s="1525"/>
      <c r="C3" s="1525"/>
      <c r="D3" s="1525"/>
      <c r="E3" s="1525"/>
      <c r="F3" s="1525"/>
      <c r="G3" s="1525"/>
      <c r="H3" s="1525"/>
      <c r="I3" s="1525"/>
      <c r="J3" s="1525"/>
    </row>
    <row r="4" spans="1:226" ht="17.25" customHeight="1">
      <c r="A4" s="1526" t="s">
        <v>39</v>
      </c>
      <c r="B4" s="1528" t="s">
        <v>923</v>
      </c>
      <c r="C4" s="1530" t="s">
        <v>0</v>
      </c>
      <c r="D4" s="1531" t="s">
        <v>1</v>
      </c>
      <c r="E4" s="1533" t="s">
        <v>8</v>
      </c>
      <c r="F4" s="1534" t="s">
        <v>924</v>
      </c>
      <c r="G4" s="1536" t="s">
        <v>2</v>
      </c>
      <c r="H4" s="1536"/>
      <c r="I4" s="1536"/>
      <c r="J4" s="1537"/>
    </row>
    <row r="5" spans="1:226" ht="31.5" customHeight="1">
      <c r="A5" s="1527"/>
      <c r="B5" s="1553"/>
      <c r="C5" s="1553"/>
      <c r="D5" s="1554"/>
      <c r="E5" s="1554"/>
      <c r="F5" s="1555"/>
      <c r="G5" s="1005" t="s">
        <v>925</v>
      </c>
      <c r="H5" s="1005" t="s">
        <v>926</v>
      </c>
      <c r="I5" s="1005" t="s">
        <v>927</v>
      </c>
      <c r="J5" s="925" t="s">
        <v>928</v>
      </c>
    </row>
    <row r="6" spans="1:226" s="930" customFormat="1" ht="9.9499999999999993" customHeight="1" thickBot="1">
      <c r="A6" s="1006" t="s">
        <v>205</v>
      </c>
      <c r="B6" s="1007" t="s">
        <v>206</v>
      </c>
      <c r="C6" s="1007" t="s">
        <v>207</v>
      </c>
      <c r="D6" s="1007" t="s">
        <v>208</v>
      </c>
      <c r="E6" s="1007" t="s">
        <v>209</v>
      </c>
      <c r="F6" s="1008" t="s">
        <v>694</v>
      </c>
      <c r="G6" s="1008" t="s">
        <v>929</v>
      </c>
      <c r="H6" s="1008" t="s">
        <v>930</v>
      </c>
      <c r="I6" s="1008" t="s">
        <v>931</v>
      </c>
      <c r="J6" s="1009" t="s">
        <v>932</v>
      </c>
    </row>
    <row r="7" spans="1:226" s="934" customFormat="1" ht="20.100000000000001" customHeight="1" thickBot="1">
      <c r="A7" s="931" t="s">
        <v>933</v>
      </c>
      <c r="B7" s="1515" t="s">
        <v>934</v>
      </c>
      <c r="C7" s="1515"/>
      <c r="D7" s="1515"/>
      <c r="E7" s="1515"/>
      <c r="F7" s="932">
        <f>F9+F30+F44+F88+F118+F152</f>
        <v>27411703</v>
      </c>
      <c r="G7" s="932">
        <f t="shared" ref="G7:J7" si="0">G9+G30+G44+G88+G118+G152</f>
        <v>3566326</v>
      </c>
      <c r="H7" s="932">
        <f t="shared" si="0"/>
        <v>1700000</v>
      </c>
      <c r="I7" s="932">
        <f t="shared" si="0"/>
        <v>22145377</v>
      </c>
      <c r="J7" s="933">
        <f t="shared" si="0"/>
        <v>0</v>
      </c>
    </row>
    <row r="8" spans="1:226" s="930" customFormat="1" ht="15" customHeight="1">
      <c r="A8" s="1516"/>
      <c r="B8" s="1517"/>
      <c r="C8" s="1517"/>
      <c r="D8" s="1517"/>
      <c r="E8" s="1517"/>
      <c r="F8" s="1517"/>
      <c r="G8" s="1517"/>
      <c r="H8" s="1517"/>
      <c r="I8" s="1517"/>
      <c r="J8" s="1518"/>
    </row>
    <row r="9" spans="1:226" s="939" customFormat="1" ht="24.95" hidden="1" customHeight="1">
      <c r="A9" s="1499"/>
      <c r="B9" s="1500" t="s">
        <v>1017</v>
      </c>
      <c r="C9" s="1501"/>
      <c r="D9" s="1501"/>
      <c r="E9" s="954" t="s">
        <v>937</v>
      </c>
      <c r="F9" s="955">
        <f>SUM(F10,F16)</f>
        <v>0</v>
      </c>
      <c r="G9" s="955">
        <f>SUM(G10,G16)</f>
        <v>0</v>
      </c>
      <c r="H9" s="955">
        <f>SUM(H10,H16)</f>
        <v>0</v>
      </c>
      <c r="I9" s="955">
        <f>SUM(I10,I16)</f>
        <v>0</v>
      </c>
      <c r="J9" s="937">
        <f>SUM(J10,J16)</f>
        <v>0</v>
      </c>
      <c r="K9" s="938"/>
      <c r="L9" s="938"/>
      <c r="M9" s="938"/>
      <c r="N9" s="938"/>
      <c r="O9" s="938"/>
      <c r="P9" s="938"/>
      <c r="Q9" s="938"/>
      <c r="R9" s="938"/>
      <c r="S9" s="938"/>
      <c r="T9" s="938"/>
      <c r="U9" s="938"/>
      <c r="V9" s="938"/>
      <c r="W9" s="938"/>
      <c r="X9" s="938"/>
      <c r="Y9" s="938"/>
      <c r="Z9" s="938"/>
      <c r="AA9" s="938"/>
      <c r="AB9" s="938"/>
      <c r="AC9" s="938"/>
      <c r="AD9" s="938"/>
      <c r="AE9" s="938"/>
      <c r="AF9" s="938"/>
      <c r="AG9" s="938"/>
      <c r="AH9" s="938"/>
      <c r="AI9" s="938"/>
      <c r="AJ9" s="938"/>
      <c r="AK9" s="938"/>
      <c r="AL9" s="938"/>
      <c r="AM9" s="938"/>
      <c r="AN9" s="938"/>
      <c r="AO9" s="938"/>
      <c r="AP9" s="938"/>
      <c r="AQ9" s="938"/>
      <c r="AR9" s="938"/>
      <c r="AS9" s="938"/>
      <c r="AT9" s="938"/>
      <c r="AU9" s="938"/>
      <c r="AV9" s="938"/>
      <c r="AW9" s="938"/>
      <c r="AX9" s="938"/>
      <c r="AY9" s="938"/>
      <c r="AZ9" s="938"/>
      <c r="BA9" s="938"/>
      <c r="BB9" s="938"/>
      <c r="BC9" s="938"/>
      <c r="BD9" s="938"/>
      <c r="BE9" s="938"/>
      <c r="BF9" s="938"/>
      <c r="BG9" s="938"/>
      <c r="BH9" s="938"/>
      <c r="BI9" s="938"/>
      <c r="BJ9" s="938"/>
      <c r="BK9" s="938"/>
      <c r="BL9" s="938"/>
      <c r="BM9" s="938"/>
      <c r="BN9" s="938"/>
      <c r="BO9" s="938"/>
      <c r="BP9" s="938"/>
      <c r="BQ9" s="938"/>
      <c r="BR9" s="938"/>
      <c r="BS9" s="938"/>
      <c r="BT9" s="938"/>
      <c r="BU9" s="938"/>
      <c r="BV9" s="938"/>
      <c r="BW9" s="938"/>
      <c r="BX9" s="938"/>
      <c r="BY9" s="938"/>
      <c r="BZ9" s="938"/>
      <c r="CA9" s="938"/>
      <c r="CB9" s="938"/>
      <c r="CC9" s="938"/>
      <c r="CD9" s="938"/>
      <c r="CE9" s="938"/>
      <c r="CF9" s="938"/>
      <c r="CG9" s="938"/>
      <c r="CH9" s="938"/>
      <c r="CI9" s="938"/>
      <c r="CJ9" s="938"/>
      <c r="CK9" s="938"/>
      <c r="CL9" s="938"/>
      <c r="CM9" s="938"/>
      <c r="CN9" s="938"/>
      <c r="CO9" s="938"/>
      <c r="CP9" s="938"/>
      <c r="CQ9" s="938"/>
      <c r="CR9" s="938"/>
      <c r="CS9" s="938"/>
      <c r="CT9" s="938"/>
      <c r="CU9" s="938"/>
      <c r="CV9" s="938"/>
      <c r="CW9" s="938"/>
      <c r="CX9" s="938"/>
      <c r="CY9" s="938"/>
      <c r="CZ9" s="938"/>
      <c r="DA9" s="938"/>
      <c r="DB9" s="938"/>
      <c r="DC9" s="938"/>
      <c r="DD9" s="938"/>
      <c r="DE9" s="938"/>
      <c r="DF9" s="938"/>
      <c r="DG9" s="938"/>
      <c r="DH9" s="938"/>
      <c r="DI9" s="938"/>
      <c r="DJ9" s="938"/>
      <c r="DK9" s="938"/>
      <c r="DL9" s="938"/>
      <c r="DM9" s="938"/>
      <c r="DN9" s="938"/>
      <c r="DO9" s="938"/>
      <c r="DP9" s="938"/>
      <c r="DQ9" s="938"/>
      <c r="DR9" s="938"/>
      <c r="DS9" s="938"/>
      <c r="DT9" s="938"/>
      <c r="DU9" s="938"/>
      <c r="DV9" s="938"/>
      <c r="DW9" s="938"/>
      <c r="DX9" s="938"/>
      <c r="DY9" s="938"/>
      <c r="DZ9" s="938"/>
      <c r="EA9" s="938"/>
      <c r="EB9" s="938"/>
      <c r="EC9" s="938"/>
      <c r="ED9" s="938"/>
      <c r="EE9" s="938"/>
      <c r="EF9" s="938"/>
      <c r="EG9" s="938"/>
      <c r="EH9" s="938"/>
      <c r="EI9" s="938"/>
      <c r="EJ9" s="938"/>
      <c r="EK9" s="938"/>
      <c r="EL9" s="938"/>
      <c r="EM9" s="938"/>
      <c r="EN9" s="938"/>
      <c r="EO9" s="938"/>
      <c r="EP9" s="938"/>
      <c r="EQ9" s="938"/>
      <c r="ER9" s="938"/>
      <c r="ES9" s="938"/>
      <c r="ET9" s="938"/>
      <c r="EU9" s="938"/>
      <c r="EV9" s="938"/>
      <c r="EW9" s="938"/>
      <c r="EX9" s="938"/>
      <c r="EY9" s="938"/>
      <c r="EZ9" s="938"/>
      <c r="FA9" s="938"/>
      <c r="FB9" s="938"/>
      <c r="FC9" s="938"/>
      <c r="FD9" s="938"/>
      <c r="FE9" s="938"/>
      <c r="FF9" s="938"/>
      <c r="FG9" s="938"/>
      <c r="FH9" s="938"/>
      <c r="FI9" s="938"/>
      <c r="FJ9" s="938"/>
      <c r="FK9" s="938"/>
      <c r="FL9" s="938"/>
      <c r="FM9" s="938"/>
      <c r="FN9" s="938"/>
      <c r="FO9" s="938"/>
      <c r="FP9" s="938"/>
      <c r="FQ9" s="938"/>
      <c r="FR9" s="938"/>
      <c r="FS9" s="938"/>
      <c r="FT9" s="938"/>
      <c r="FU9" s="938"/>
      <c r="FV9" s="938"/>
      <c r="FW9" s="938"/>
      <c r="FX9" s="938"/>
      <c r="FY9" s="938"/>
      <c r="FZ9" s="938"/>
      <c r="GA9" s="938"/>
      <c r="GB9" s="938"/>
      <c r="GC9" s="938"/>
      <c r="GD9" s="938"/>
      <c r="GE9" s="938"/>
      <c r="GF9" s="938"/>
      <c r="GG9" s="938"/>
      <c r="GH9" s="938"/>
      <c r="GI9" s="938"/>
      <c r="GJ9" s="938"/>
      <c r="GK9" s="938"/>
      <c r="GL9" s="938"/>
      <c r="GM9" s="938"/>
      <c r="GN9" s="938"/>
      <c r="GO9" s="938"/>
      <c r="GP9" s="938"/>
      <c r="GQ9" s="938"/>
      <c r="GR9" s="938"/>
      <c r="GS9" s="938"/>
      <c r="GT9" s="938"/>
      <c r="GU9" s="938"/>
      <c r="GV9" s="938"/>
      <c r="GW9" s="938"/>
      <c r="GX9" s="938"/>
      <c r="GY9" s="938"/>
      <c r="GZ9" s="938"/>
      <c r="HA9" s="938"/>
      <c r="HB9" s="938"/>
      <c r="HC9" s="938"/>
      <c r="HD9" s="938"/>
      <c r="HE9" s="938"/>
      <c r="HF9" s="938"/>
      <c r="HG9" s="938"/>
      <c r="HH9" s="938"/>
      <c r="HI9" s="938"/>
      <c r="HJ9" s="938"/>
      <c r="HK9" s="938"/>
      <c r="HL9" s="938"/>
      <c r="HM9" s="938"/>
      <c r="HN9" s="938"/>
      <c r="HO9" s="938"/>
      <c r="HP9" s="938"/>
      <c r="HQ9" s="938"/>
      <c r="HR9" s="938"/>
    </row>
    <row r="10" spans="1:226" s="939" customFormat="1" ht="24.95" hidden="1" customHeight="1">
      <c r="A10" s="1499"/>
      <c r="B10" s="1500"/>
      <c r="C10" s="1501"/>
      <c r="D10" s="1501"/>
      <c r="E10" s="957" t="s">
        <v>440</v>
      </c>
      <c r="F10" s="958">
        <f>SUM(F11:F15)</f>
        <v>0</v>
      </c>
      <c r="G10" s="958">
        <f>SUM(G11:G15)</f>
        <v>0</v>
      </c>
      <c r="H10" s="958">
        <f>SUM(H11:H15)</f>
        <v>0</v>
      </c>
      <c r="I10" s="958">
        <f>SUM(I11:I15)</f>
        <v>0</v>
      </c>
      <c r="J10" s="942">
        <f>SUM(J11:J15)</f>
        <v>0</v>
      </c>
      <c r="K10" s="938"/>
    </row>
    <row r="11" spans="1:226" s="939" customFormat="1" ht="15" hidden="1" customHeight="1">
      <c r="A11" s="1499"/>
      <c r="B11" s="1500"/>
      <c r="C11" s="986">
        <v>150</v>
      </c>
      <c r="D11" s="963" t="s">
        <v>346</v>
      </c>
      <c r="E11" s="963" t="s">
        <v>348</v>
      </c>
      <c r="F11" s="964">
        <f>SUM(G11:J11)</f>
        <v>0</v>
      </c>
      <c r="G11" s="964"/>
      <c r="H11" s="964"/>
      <c r="I11" s="964"/>
      <c r="J11" s="946"/>
      <c r="K11" s="938"/>
    </row>
    <row r="12" spans="1:226" s="939" customFormat="1" ht="15" hidden="1" customHeight="1">
      <c r="A12" s="1499"/>
      <c r="B12" s="1500"/>
      <c r="C12" s="986">
        <v>801</v>
      </c>
      <c r="D12" s="963" t="s">
        <v>506</v>
      </c>
      <c r="E12" s="963" t="s">
        <v>348</v>
      </c>
      <c r="F12" s="964">
        <f>SUM(G12:J12)</f>
        <v>0</v>
      </c>
      <c r="G12" s="964"/>
      <c r="H12" s="964"/>
      <c r="I12" s="964"/>
      <c r="J12" s="946"/>
      <c r="K12" s="938"/>
    </row>
    <row r="13" spans="1:226" s="939" customFormat="1" ht="15" hidden="1" customHeight="1">
      <c r="A13" s="1499"/>
      <c r="B13" s="1500"/>
      <c r="C13" s="986">
        <v>803</v>
      </c>
      <c r="D13" s="963" t="s">
        <v>539</v>
      </c>
      <c r="E13" s="963" t="s">
        <v>348</v>
      </c>
      <c r="F13" s="964">
        <f>SUM(G13:J13)</f>
        <v>0</v>
      </c>
      <c r="G13" s="964"/>
      <c r="H13" s="964"/>
      <c r="I13" s="964"/>
      <c r="J13" s="946"/>
      <c r="K13" s="938"/>
    </row>
    <row r="14" spans="1:226" s="939" customFormat="1" ht="15" hidden="1" customHeight="1">
      <c r="A14" s="1499"/>
      <c r="B14" s="1500"/>
      <c r="C14" s="986">
        <v>921</v>
      </c>
      <c r="D14" s="963" t="s">
        <v>664</v>
      </c>
      <c r="E14" s="963" t="s">
        <v>348</v>
      </c>
      <c r="F14" s="964">
        <f>SUM(G14:J14)</f>
        <v>0</v>
      </c>
      <c r="G14" s="964"/>
      <c r="H14" s="964"/>
      <c r="I14" s="964"/>
      <c r="J14" s="946"/>
      <c r="K14" s="938"/>
    </row>
    <row r="15" spans="1:226" s="939" customFormat="1" ht="15" hidden="1" customHeight="1">
      <c r="A15" s="1499"/>
      <c r="B15" s="1500"/>
      <c r="C15" s="986">
        <v>926</v>
      </c>
      <c r="D15" s="963" t="s">
        <v>938</v>
      </c>
      <c r="E15" s="963" t="s">
        <v>348</v>
      </c>
      <c r="F15" s="964">
        <f>SUM(G15:J15)</f>
        <v>0</v>
      </c>
      <c r="G15" s="964"/>
      <c r="H15" s="964"/>
      <c r="I15" s="964"/>
      <c r="J15" s="946"/>
      <c r="K15" s="938"/>
    </row>
    <row r="16" spans="1:226" s="939" customFormat="1" ht="24.95" hidden="1" customHeight="1">
      <c r="A16" s="1499"/>
      <c r="B16" s="1500"/>
      <c r="C16" s="1501"/>
      <c r="D16" s="1501"/>
      <c r="E16" s="966" t="s">
        <v>939</v>
      </c>
      <c r="F16" s="958">
        <f>SUM(F17:F29)</f>
        <v>0</v>
      </c>
      <c r="G16" s="958">
        <f>SUM(G17:G29)</f>
        <v>0</v>
      </c>
      <c r="H16" s="958">
        <f>SUM(H17:H29)</f>
        <v>0</v>
      </c>
      <c r="I16" s="958">
        <f>SUM(I17:I29)</f>
        <v>0</v>
      </c>
      <c r="J16" s="942">
        <f>SUM(J17:J29)</f>
        <v>0</v>
      </c>
      <c r="K16" s="938"/>
    </row>
    <row r="17" spans="1:226" s="939" customFormat="1" ht="15" hidden="1" customHeight="1">
      <c r="A17" s="1499"/>
      <c r="B17" s="1500"/>
      <c r="C17" s="1501">
        <v>150</v>
      </c>
      <c r="D17" s="1502" t="s">
        <v>346</v>
      </c>
      <c r="E17" s="963" t="s">
        <v>350</v>
      </c>
      <c r="F17" s="964">
        <f t="shared" ref="F17:F29" si="1">SUM(G17:J17)</f>
        <v>0</v>
      </c>
      <c r="G17" s="964"/>
      <c r="H17" s="964"/>
      <c r="I17" s="964"/>
      <c r="J17" s="946"/>
      <c r="K17" s="938"/>
    </row>
    <row r="18" spans="1:226" s="939" customFormat="1" ht="15" hidden="1" customHeight="1">
      <c r="A18" s="1499"/>
      <c r="B18" s="1500"/>
      <c r="C18" s="1501"/>
      <c r="D18" s="1502"/>
      <c r="E18" s="963" t="s">
        <v>940</v>
      </c>
      <c r="F18" s="964">
        <f t="shared" si="1"/>
        <v>0</v>
      </c>
      <c r="G18" s="964"/>
      <c r="H18" s="964"/>
      <c r="I18" s="964"/>
      <c r="J18" s="946"/>
      <c r="K18" s="938"/>
    </row>
    <row r="19" spans="1:226" s="939" customFormat="1" ht="15" hidden="1" customHeight="1">
      <c r="A19" s="1499"/>
      <c r="B19" s="1500"/>
      <c r="C19" s="1501">
        <v>400</v>
      </c>
      <c r="D19" s="963" t="s">
        <v>355</v>
      </c>
      <c r="E19" s="963" t="s">
        <v>350</v>
      </c>
      <c r="F19" s="964">
        <f t="shared" si="1"/>
        <v>0</v>
      </c>
      <c r="G19" s="964"/>
      <c r="H19" s="964"/>
      <c r="I19" s="964"/>
      <c r="J19" s="946"/>
      <c r="K19" s="938"/>
    </row>
    <row r="20" spans="1:226" s="939" customFormat="1" ht="15" hidden="1" customHeight="1">
      <c r="A20" s="1499"/>
      <c r="B20" s="1500"/>
      <c r="C20" s="1501"/>
      <c r="D20" s="963" t="s">
        <v>357</v>
      </c>
      <c r="E20" s="963" t="s">
        <v>350</v>
      </c>
      <c r="F20" s="964">
        <f t="shared" si="1"/>
        <v>0</v>
      </c>
      <c r="G20" s="964"/>
      <c r="H20" s="964"/>
      <c r="I20" s="964"/>
      <c r="J20" s="946"/>
      <c r="K20" s="938"/>
    </row>
    <row r="21" spans="1:226" s="939" customFormat="1" ht="15" hidden="1" customHeight="1">
      <c r="A21" s="1499"/>
      <c r="B21" s="1500"/>
      <c r="C21" s="986">
        <v>600</v>
      </c>
      <c r="D21" s="963" t="s">
        <v>385</v>
      </c>
      <c r="E21" s="963" t="s">
        <v>350</v>
      </c>
      <c r="F21" s="964">
        <f t="shared" si="1"/>
        <v>0</v>
      </c>
      <c r="G21" s="964"/>
      <c r="H21" s="964"/>
      <c r="I21" s="964"/>
      <c r="J21" s="946"/>
      <c r="K21" s="938"/>
    </row>
    <row r="22" spans="1:226" s="939" customFormat="1" ht="15" hidden="1" customHeight="1">
      <c r="A22" s="1499"/>
      <c r="B22" s="1500"/>
      <c r="C22" s="986">
        <v>720</v>
      </c>
      <c r="D22" s="963" t="s">
        <v>418</v>
      </c>
      <c r="E22" s="963" t="s">
        <v>350</v>
      </c>
      <c r="F22" s="964">
        <f t="shared" si="1"/>
        <v>0</v>
      </c>
      <c r="G22" s="964"/>
      <c r="H22" s="964"/>
      <c r="I22" s="964"/>
      <c r="J22" s="946"/>
      <c r="K22" s="938"/>
    </row>
    <row r="23" spans="1:226" s="939" customFormat="1" ht="15" hidden="1" customHeight="1">
      <c r="A23" s="1499"/>
      <c r="B23" s="1500"/>
      <c r="C23" s="986">
        <v>801</v>
      </c>
      <c r="D23" s="963" t="s">
        <v>506</v>
      </c>
      <c r="E23" s="963" t="s">
        <v>350</v>
      </c>
      <c r="F23" s="964">
        <f t="shared" si="1"/>
        <v>0</v>
      </c>
      <c r="G23" s="964"/>
      <c r="H23" s="964"/>
      <c r="I23" s="964"/>
      <c r="J23" s="946"/>
      <c r="K23" s="938"/>
      <c r="L23" s="938"/>
      <c r="M23" s="938"/>
      <c r="N23" s="938"/>
      <c r="O23" s="938"/>
      <c r="P23" s="938"/>
      <c r="Q23" s="938"/>
      <c r="R23" s="938"/>
      <c r="S23" s="938"/>
      <c r="T23" s="938"/>
      <c r="U23" s="938"/>
      <c r="V23" s="938"/>
      <c r="W23" s="938"/>
      <c r="X23" s="938"/>
      <c r="Y23" s="938"/>
      <c r="Z23" s="938"/>
      <c r="AA23" s="938"/>
      <c r="AB23" s="938"/>
      <c r="AC23" s="938"/>
      <c r="AD23" s="938"/>
      <c r="AE23" s="938"/>
      <c r="AF23" s="938"/>
      <c r="AG23" s="938"/>
      <c r="AH23" s="938"/>
      <c r="AI23" s="938"/>
      <c r="AJ23" s="938"/>
      <c r="AK23" s="938"/>
      <c r="AL23" s="938"/>
      <c r="AM23" s="938"/>
      <c r="AN23" s="938"/>
      <c r="AO23" s="938"/>
      <c r="AP23" s="938"/>
      <c r="AQ23" s="938"/>
      <c r="AR23" s="938"/>
      <c r="AS23" s="938"/>
      <c r="AT23" s="938"/>
      <c r="AU23" s="938"/>
      <c r="AV23" s="938"/>
      <c r="AW23" s="938"/>
      <c r="AX23" s="938"/>
      <c r="AY23" s="938"/>
      <c r="AZ23" s="938"/>
      <c r="BA23" s="938"/>
      <c r="BB23" s="938"/>
      <c r="BC23" s="938"/>
      <c r="BD23" s="938"/>
      <c r="BE23" s="938"/>
      <c r="BF23" s="938"/>
      <c r="BG23" s="938"/>
      <c r="BH23" s="938"/>
      <c r="BI23" s="938"/>
      <c r="BJ23" s="938"/>
      <c r="BK23" s="938"/>
      <c r="BL23" s="938"/>
      <c r="BM23" s="938"/>
      <c r="BN23" s="938"/>
      <c r="BO23" s="938"/>
      <c r="BP23" s="938"/>
      <c r="BQ23" s="938"/>
      <c r="BR23" s="938"/>
      <c r="BS23" s="938"/>
      <c r="BT23" s="938"/>
      <c r="BU23" s="938"/>
      <c r="BV23" s="938"/>
      <c r="BW23" s="938"/>
      <c r="BX23" s="938"/>
      <c r="BY23" s="938"/>
      <c r="BZ23" s="938"/>
      <c r="CA23" s="938"/>
      <c r="CB23" s="938"/>
      <c r="CC23" s="938"/>
      <c r="CD23" s="938"/>
      <c r="CE23" s="938"/>
      <c r="CF23" s="938"/>
      <c r="CG23" s="938"/>
      <c r="CH23" s="938"/>
      <c r="CI23" s="938"/>
      <c r="CJ23" s="938"/>
      <c r="CK23" s="938"/>
      <c r="CL23" s="938"/>
      <c r="CM23" s="938"/>
      <c r="CN23" s="938"/>
      <c r="CO23" s="938"/>
      <c r="CP23" s="938"/>
      <c r="CQ23" s="938"/>
      <c r="CR23" s="938"/>
      <c r="CS23" s="938"/>
      <c r="CT23" s="938"/>
      <c r="CU23" s="938"/>
      <c r="CV23" s="938"/>
      <c r="CW23" s="938"/>
      <c r="CX23" s="938"/>
      <c r="CY23" s="938"/>
      <c r="CZ23" s="938"/>
      <c r="DA23" s="938"/>
      <c r="DB23" s="938"/>
      <c r="DC23" s="938"/>
      <c r="DD23" s="938"/>
      <c r="DE23" s="938"/>
      <c r="DF23" s="938"/>
      <c r="DG23" s="938"/>
      <c r="DH23" s="938"/>
      <c r="DI23" s="938"/>
      <c r="DJ23" s="938"/>
      <c r="DK23" s="938"/>
      <c r="DL23" s="938"/>
      <c r="DM23" s="938"/>
      <c r="DN23" s="938"/>
      <c r="DO23" s="938"/>
      <c r="DP23" s="938"/>
      <c r="DQ23" s="938"/>
      <c r="DR23" s="938"/>
      <c r="DS23" s="938"/>
      <c r="DT23" s="938"/>
      <c r="DU23" s="938"/>
      <c r="DV23" s="938"/>
      <c r="DW23" s="938"/>
      <c r="DX23" s="938"/>
      <c r="DY23" s="938"/>
      <c r="DZ23" s="938"/>
      <c r="EA23" s="938"/>
      <c r="EB23" s="938"/>
      <c r="EC23" s="938"/>
      <c r="ED23" s="938"/>
      <c r="EE23" s="938"/>
      <c r="EF23" s="938"/>
      <c r="EG23" s="938"/>
      <c r="EH23" s="938"/>
      <c r="EI23" s="938"/>
      <c r="EJ23" s="938"/>
      <c r="EK23" s="938"/>
      <c r="EL23" s="938"/>
      <c r="EM23" s="938"/>
      <c r="EN23" s="938"/>
      <c r="EO23" s="938"/>
      <c r="EP23" s="938"/>
      <c r="EQ23" s="938"/>
      <c r="ER23" s="938"/>
      <c r="ES23" s="938"/>
      <c r="ET23" s="938"/>
      <c r="EU23" s="938"/>
      <c r="EV23" s="938"/>
      <c r="EW23" s="938"/>
      <c r="EX23" s="938"/>
      <c r="EY23" s="938"/>
      <c r="EZ23" s="938"/>
      <c r="FA23" s="938"/>
      <c r="FB23" s="938"/>
      <c r="FC23" s="938"/>
      <c r="FD23" s="938"/>
      <c r="FE23" s="938"/>
      <c r="FF23" s="938"/>
      <c r="FG23" s="938"/>
      <c r="FH23" s="938"/>
      <c r="FI23" s="938"/>
      <c r="FJ23" s="938"/>
      <c r="FK23" s="938"/>
      <c r="FL23" s="938"/>
      <c r="FM23" s="938"/>
      <c r="FN23" s="938"/>
      <c r="FO23" s="938"/>
      <c r="FP23" s="938"/>
      <c r="FQ23" s="938"/>
      <c r="FR23" s="938"/>
      <c r="FS23" s="938"/>
      <c r="FT23" s="938"/>
      <c r="FU23" s="938"/>
      <c r="FV23" s="938"/>
      <c r="FW23" s="938"/>
      <c r="FX23" s="938"/>
      <c r="FY23" s="938"/>
      <c r="FZ23" s="938"/>
      <c r="GA23" s="938"/>
      <c r="GB23" s="938"/>
      <c r="GC23" s="938"/>
      <c r="GD23" s="938"/>
      <c r="GE23" s="938"/>
      <c r="GF23" s="938"/>
      <c r="GG23" s="938"/>
      <c r="GH23" s="938"/>
      <c r="GI23" s="938"/>
      <c r="GJ23" s="938"/>
      <c r="GK23" s="938"/>
      <c r="GL23" s="938"/>
      <c r="GM23" s="938"/>
      <c r="GN23" s="938"/>
      <c r="GO23" s="938"/>
      <c r="GP23" s="938"/>
      <c r="GQ23" s="938"/>
      <c r="GR23" s="938"/>
      <c r="GS23" s="938"/>
      <c r="GT23" s="938"/>
      <c r="GU23" s="938"/>
      <c r="GV23" s="938"/>
      <c r="GW23" s="938"/>
      <c r="GX23" s="938"/>
      <c r="GY23" s="938"/>
      <c r="GZ23" s="938"/>
      <c r="HA23" s="938"/>
      <c r="HB23" s="938"/>
      <c r="HC23" s="938"/>
      <c r="HD23" s="938"/>
      <c r="HE23" s="938"/>
      <c r="HF23" s="938"/>
      <c r="HG23" s="938"/>
      <c r="HH23" s="938"/>
      <c r="HI23" s="938"/>
      <c r="HJ23" s="938"/>
      <c r="HK23" s="938"/>
      <c r="HL23" s="938"/>
      <c r="HM23" s="938"/>
      <c r="HN23" s="938"/>
      <c r="HO23" s="938"/>
      <c r="HP23" s="938"/>
      <c r="HQ23" s="938"/>
      <c r="HR23" s="938"/>
    </row>
    <row r="24" spans="1:226" s="939" customFormat="1" ht="15" hidden="1" customHeight="1">
      <c r="A24" s="1499"/>
      <c r="B24" s="1500"/>
      <c r="C24" s="986">
        <v>803</v>
      </c>
      <c r="D24" s="963" t="s">
        <v>539</v>
      </c>
      <c r="E24" s="963" t="s">
        <v>350</v>
      </c>
      <c r="F24" s="964">
        <f t="shared" si="1"/>
        <v>0</v>
      </c>
      <c r="G24" s="964"/>
      <c r="H24" s="964"/>
      <c r="I24" s="964"/>
      <c r="J24" s="946"/>
      <c r="K24" s="938"/>
    </row>
    <row r="25" spans="1:226" s="939" customFormat="1" ht="15" hidden="1" customHeight="1">
      <c r="A25" s="1499"/>
      <c r="B25" s="1500"/>
      <c r="C25" s="986">
        <v>851</v>
      </c>
      <c r="D25" s="963" t="s">
        <v>941</v>
      </c>
      <c r="E25" s="963" t="s">
        <v>940</v>
      </c>
      <c r="F25" s="964">
        <f t="shared" si="1"/>
        <v>0</v>
      </c>
      <c r="G25" s="964"/>
      <c r="H25" s="964"/>
      <c r="I25" s="964"/>
      <c r="J25" s="946"/>
      <c r="K25" s="938"/>
    </row>
    <row r="26" spans="1:226" s="939" customFormat="1" ht="15" hidden="1" customHeight="1">
      <c r="A26" s="1499"/>
      <c r="B26" s="1500"/>
      <c r="C26" s="1501">
        <v>921</v>
      </c>
      <c r="D26" s="1502" t="s">
        <v>4</v>
      </c>
      <c r="E26" s="963" t="s">
        <v>350</v>
      </c>
      <c r="F26" s="964">
        <f t="shared" si="1"/>
        <v>0</v>
      </c>
      <c r="G26" s="964"/>
      <c r="H26" s="964"/>
      <c r="I26" s="964"/>
      <c r="J26" s="946"/>
      <c r="K26" s="938"/>
    </row>
    <row r="27" spans="1:226" s="939" customFormat="1" ht="15" hidden="1" customHeight="1">
      <c r="A27" s="1499"/>
      <c r="B27" s="1500"/>
      <c r="C27" s="1501"/>
      <c r="D27" s="1502"/>
      <c r="E27" s="963" t="s">
        <v>940</v>
      </c>
      <c r="F27" s="964">
        <f t="shared" si="1"/>
        <v>0</v>
      </c>
      <c r="G27" s="964"/>
      <c r="H27" s="964"/>
      <c r="I27" s="964"/>
      <c r="J27" s="946"/>
      <c r="K27" s="938"/>
    </row>
    <row r="28" spans="1:226" s="939" customFormat="1" ht="15" hidden="1" customHeight="1">
      <c r="A28" s="1499"/>
      <c r="B28" s="1500"/>
      <c r="C28" s="1501"/>
      <c r="D28" s="963" t="s">
        <v>664</v>
      </c>
      <c r="E28" s="963" t="s">
        <v>350</v>
      </c>
      <c r="F28" s="964">
        <f t="shared" si="1"/>
        <v>0</v>
      </c>
      <c r="G28" s="964"/>
      <c r="H28" s="964"/>
      <c r="I28" s="964"/>
      <c r="J28" s="946"/>
      <c r="K28" s="938"/>
    </row>
    <row r="29" spans="1:226" s="939" customFormat="1" ht="15" hidden="1" customHeight="1">
      <c r="A29" s="1499"/>
      <c r="B29" s="1500"/>
      <c r="C29" s="986">
        <v>926</v>
      </c>
      <c r="D29" s="963" t="s">
        <v>938</v>
      </c>
      <c r="E29" s="963" t="s">
        <v>350</v>
      </c>
      <c r="F29" s="964">
        <f t="shared" si="1"/>
        <v>0</v>
      </c>
      <c r="G29" s="964"/>
      <c r="H29" s="964"/>
      <c r="I29" s="964"/>
      <c r="J29" s="946"/>
      <c r="K29" s="938"/>
    </row>
    <row r="30" spans="1:226" s="939" customFormat="1" ht="24.95" hidden="1" customHeight="1">
      <c r="A30" s="1499"/>
      <c r="B30" s="1500"/>
      <c r="C30" s="1501"/>
      <c r="D30" s="1502"/>
      <c r="E30" s="954" t="s">
        <v>937</v>
      </c>
      <c r="F30" s="955">
        <f>SUM(F31,F40)</f>
        <v>0</v>
      </c>
      <c r="G30" s="955">
        <f>SUM(G31,G40)</f>
        <v>0</v>
      </c>
      <c r="H30" s="955">
        <f>SUM(H31,H40)</f>
        <v>0</v>
      </c>
      <c r="I30" s="955">
        <f>SUM(I31,I40)</f>
        <v>0</v>
      </c>
      <c r="J30" s="937">
        <f>SUM(J31,J40)</f>
        <v>0</v>
      </c>
      <c r="K30" s="938"/>
    </row>
    <row r="31" spans="1:226" s="939" customFormat="1" ht="24.95" hidden="1" customHeight="1">
      <c r="A31" s="1499"/>
      <c r="B31" s="1500"/>
      <c r="C31" s="1501"/>
      <c r="D31" s="1502"/>
      <c r="E31" s="957" t="s">
        <v>943</v>
      </c>
      <c r="F31" s="958">
        <f>SUM(F32,F36)</f>
        <v>0</v>
      </c>
      <c r="G31" s="958">
        <f>SUM(G32,G36)</f>
        <v>0</v>
      </c>
      <c r="H31" s="958">
        <f>SUM(H32,H36)</f>
        <v>0</v>
      </c>
      <c r="I31" s="958">
        <f>SUM(I32,I36)</f>
        <v>0</v>
      </c>
      <c r="J31" s="942">
        <f>SUM(J32,J36)</f>
        <v>0</v>
      </c>
      <c r="K31" s="938"/>
    </row>
    <row r="32" spans="1:226" s="939" customFormat="1" ht="24.95" hidden="1" customHeight="1">
      <c r="A32" s="1499"/>
      <c r="B32" s="1500"/>
      <c r="C32" s="1501"/>
      <c r="D32" s="1502"/>
      <c r="E32" s="960" t="s">
        <v>944</v>
      </c>
      <c r="F32" s="961">
        <f>SUM(F33:F35)</f>
        <v>0</v>
      </c>
      <c r="G32" s="961">
        <f>SUM(G33:G35)</f>
        <v>0</v>
      </c>
      <c r="H32" s="961">
        <f>SUM(H33:H35)</f>
        <v>0</v>
      </c>
      <c r="I32" s="961">
        <f>SUM(I33:I35)</f>
        <v>0</v>
      </c>
      <c r="J32" s="951">
        <f>SUM(J33:J35)</f>
        <v>0</v>
      </c>
      <c r="K32" s="938"/>
    </row>
    <row r="33" spans="1:226" s="939" customFormat="1" ht="15" hidden="1" customHeight="1">
      <c r="A33" s="1499"/>
      <c r="B33" s="1500"/>
      <c r="C33" s="1501"/>
      <c r="D33" s="1502"/>
      <c r="E33" s="963"/>
      <c r="F33" s="964">
        <f>SUM(G33:J33)</f>
        <v>0</v>
      </c>
      <c r="G33" s="964"/>
      <c r="H33" s="964"/>
      <c r="I33" s="964"/>
      <c r="J33" s="946"/>
      <c r="K33" s="938"/>
    </row>
    <row r="34" spans="1:226" s="939" customFormat="1" ht="15" hidden="1" customHeight="1">
      <c r="A34" s="1499"/>
      <c r="B34" s="1500"/>
      <c r="C34" s="1501"/>
      <c r="D34" s="1502"/>
      <c r="E34" s="963"/>
      <c r="F34" s="964">
        <f>SUM(G34:J34)</f>
        <v>0</v>
      </c>
      <c r="G34" s="964"/>
      <c r="H34" s="964"/>
      <c r="I34" s="964"/>
      <c r="J34" s="946"/>
      <c r="K34" s="938"/>
    </row>
    <row r="35" spans="1:226" s="939" customFormat="1" ht="15" hidden="1" customHeight="1">
      <c r="A35" s="1499"/>
      <c r="B35" s="1500"/>
      <c r="C35" s="1501"/>
      <c r="D35" s="1502"/>
      <c r="E35" s="963"/>
      <c r="F35" s="964">
        <f>SUM(G35:J35)</f>
        <v>0</v>
      </c>
      <c r="G35" s="964"/>
      <c r="H35" s="964"/>
      <c r="I35" s="964"/>
      <c r="J35" s="946"/>
      <c r="K35" s="938"/>
    </row>
    <row r="36" spans="1:226" s="939" customFormat="1" ht="24.95" hidden="1" customHeight="1">
      <c r="A36" s="1499"/>
      <c r="B36" s="1500"/>
      <c r="C36" s="1501"/>
      <c r="D36" s="1502"/>
      <c r="E36" s="960" t="s">
        <v>945</v>
      </c>
      <c r="F36" s="961">
        <f>SUM(F37:F39)</f>
        <v>0</v>
      </c>
      <c r="G36" s="961">
        <f>SUM(G37:G39)</f>
        <v>0</v>
      </c>
      <c r="H36" s="961">
        <f>SUM(H37:H39)</f>
        <v>0</v>
      </c>
      <c r="I36" s="961">
        <f>SUM(I37:I39)</f>
        <v>0</v>
      </c>
      <c r="J36" s="951">
        <f>SUM(J37:J39)</f>
        <v>0</v>
      </c>
      <c r="K36" s="938"/>
      <c r="L36" s="938"/>
      <c r="M36" s="938"/>
      <c r="N36" s="938"/>
      <c r="O36" s="938"/>
      <c r="P36" s="938"/>
      <c r="Q36" s="938"/>
      <c r="R36" s="938"/>
      <c r="S36" s="938"/>
      <c r="T36" s="938"/>
      <c r="U36" s="938"/>
      <c r="V36" s="938"/>
      <c r="W36" s="938"/>
      <c r="X36" s="938"/>
      <c r="Y36" s="938"/>
      <c r="Z36" s="938"/>
      <c r="AA36" s="938"/>
      <c r="AB36" s="938"/>
      <c r="AC36" s="938"/>
      <c r="AD36" s="938"/>
      <c r="AE36" s="938"/>
      <c r="AF36" s="938"/>
      <c r="AG36" s="938"/>
      <c r="AH36" s="938"/>
      <c r="AI36" s="938"/>
      <c r="AJ36" s="938"/>
      <c r="AK36" s="938"/>
      <c r="AL36" s="938"/>
      <c r="AM36" s="938"/>
      <c r="AN36" s="938"/>
      <c r="AO36" s="938"/>
      <c r="AP36" s="938"/>
      <c r="AQ36" s="938"/>
      <c r="AR36" s="938"/>
      <c r="AS36" s="938"/>
      <c r="AT36" s="938"/>
      <c r="AU36" s="938"/>
      <c r="AV36" s="938"/>
      <c r="AW36" s="938"/>
      <c r="AX36" s="938"/>
      <c r="AY36" s="938"/>
      <c r="AZ36" s="938"/>
      <c r="BA36" s="938"/>
      <c r="BB36" s="938"/>
      <c r="BC36" s="938"/>
      <c r="BD36" s="938"/>
      <c r="BE36" s="938"/>
      <c r="BF36" s="938"/>
      <c r="BG36" s="938"/>
      <c r="BH36" s="938"/>
      <c r="BI36" s="938"/>
      <c r="BJ36" s="938"/>
      <c r="BK36" s="938"/>
      <c r="BL36" s="938"/>
      <c r="BM36" s="938"/>
      <c r="BN36" s="938"/>
      <c r="BO36" s="938"/>
      <c r="BP36" s="938"/>
      <c r="BQ36" s="938"/>
      <c r="BR36" s="938"/>
      <c r="BS36" s="938"/>
      <c r="BT36" s="938"/>
      <c r="BU36" s="938"/>
      <c r="BV36" s="938"/>
      <c r="BW36" s="938"/>
      <c r="BX36" s="938"/>
      <c r="BY36" s="938"/>
      <c r="BZ36" s="938"/>
      <c r="CA36" s="938"/>
      <c r="CB36" s="938"/>
      <c r="CC36" s="938"/>
      <c r="CD36" s="938"/>
      <c r="CE36" s="938"/>
      <c r="CF36" s="938"/>
      <c r="CG36" s="938"/>
      <c r="CH36" s="938"/>
      <c r="CI36" s="938"/>
      <c r="CJ36" s="938"/>
      <c r="CK36" s="938"/>
      <c r="CL36" s="938"/>
      <c r="CM36" s="938"/>
      <c r="CN36" s="938"/>
      <c r="CO36" s="938"/>
      <c r="CP36" s="938"/>
      <c r="CQ36" s="938"/>
      <c r="CR36" s="938"/>
      <c r="CS36" s="938"/>
      <c r="CT36" s="938"/>
      <c r="CU36" s="938"/>
      <c r="CV36" s="938"/>
      <c r="CW36" s="938"/>
      <c r="CX36" s="938"/>
      <c r="CY36" s="938"/>
      <c r="CZ36" s="938"/>
      <c r="DA36" s="938"/>
      <c r="DB36" s="938"/>
      <c r="DC36" s="938"/>
      <c r="DD36" s="938"/>
      <c r="DE36" s="938"/>
      <c r="DF36" s="938"/>
      <c r="DG36" s="938"/>
      <c r="DH36" s="938"/>
      <c r="DI36" s="938"/>
      <c r="DJ36" s="938"/>
      <c r="DK36" s="938"/>
      <c r="DL36" s="938"/>
      <c r="DM36" s="938"/>
      <c r="DN36" s="938"/>
      <c r="DO36" s="938"/>
      <c r="DP36" s="938"/>
      <c r="DQ36" s="938"/>
      <c r="DR36" s="938"/>
      <c r="DS36" s="938"/>
      <c r="DT36" s="938"/>
      <c r="DU36" s="938"/>
      <c r="DV36" s="938"/>
      <c r="DW36" s="938"/>
      <c r="DX36" s="938"/>
      <c r="DY36" s="938"/>
      <c r="DZ36" s="938"/>
      <c r="EA36" s="938"/>
      <c r="EB36" s="938"/>
      <c r="EC36" s="938"/>
      <c r="ED36" s="938"/>
      <c r="EE36" s="938"/>
      <c r="EF36" s="938"/>
      <c r="EG36" s="938"/>
      <c r="EH36" s="938"/>
      <c r="EI36" s="938"/>
      <c r="EJ36" s="938"/>
      <c r="EK36" s="938"/>
      <c r="EL36" s="938"/>
      <c r="EM36" s="938"/>
      <c r="EN36" s="938"/>
      <c r="EO36" s="938"/>
      <c r="EP36" s="938"/>
      <c r="EQ36" s="938"/>
      <c r="ER36" s="938"/>
      <c r="ES36" s="938"/>
      <c r="ET36" s="938"/>
      <c r="EU36" s="938"/>
      <c r="EV36" s="938"/>
      <c r="EW36" s="938"/>
      <c r="EX36" s="938"/>
      <c r="EY36" s="938"/>
      <c r="EZ36" s="938"/>
      <c r="FA36" s="938"/>
      <c r="FB36" s="938"/>
      <c r="FC36" s="938"/>
      <c r="FD36" s="938"/>
      <c r="FE36" s="938"/>
      <c r="FF36" s="938"/>
      <c r="FG36" s="938"/>
      <c r="FH36" s="938"/>
      <c r="FI36" s="938"/>
      <c r="FJ36" s="938"/>
      <c r="FK36" s="938"/>
      <c r="FL36" s="938"/>
      <c r="FM36" s="938"/>
      <c r="FN36" s="938"/>
      <c r="FO36" s="938"/>
      <c r="FP36" s="938"/>
      <c r="FQ36" s="938"/>
      <c r="FR36" s="938"/>
      <c r="FS36" s="938"/>
      <c r="FT36" s="938"/>
      <c r="FU36" s="938"/>
      <c r="FV36" s="938"/>
      <c r="FW36" s="938"/>
      <c r="FX36" s="938"/>
      <c r="FY36" s="938"/>
      <c r="FZ36" s="938"/>
      <c r="GA36" s="938"/>
      <c r="GB36" s="938"/>
      <c r="GC36" s="938"/>
      <c r="GD36" s="938"/>
      <c r="GE36" s="938"/>
      <c r="GF36" s="938"/>
      <c r="GG36" s="938"/>
      <c r="GH36" s="938"/>
      <c r="GI36" s="938"/>
      <c r="GJ36" s="938"/>
      <c r="GK36" s="938"/>
      <c r="GL36" s="938"/>
      <c r="GM36" s="938"/>
      <c r="GN36" s="938"/>
      <c r="GO36" s="938"/>
      <c r="GP36" s="938"/>
      <c r="GQ36" s="938"/>
      <c r="GR36" s="938"/>
      <c r="GS36" s="938"/>
      <c r="GT36" s="938"/>
      <c r="GU36" s="938"/>
      <c r="GV36" s="938"/>
      <c r="GW36" s="938"/>
      <c r="GX36" s="938"/>
      <c r="GY36" s="938"/>
      <c r="GZ36" s="938"/>
      <c r="HA36" s="938"/>
      <c r="HB36" s="938"/>
      <c r="HC36" s="938"/>
      <c r="HD36" s="938"/>
      <c r="HE36" s="938"/>
      <c r="HF36" s="938"/>
      <c r="HG36" s="938"/>
      <c r="HH36" s="938"/>
      <c r="HI36" s="938"/>
      <c r="HJ36" s="938"/>
      <c r="HK36" s="938"/>
      <c r="HL36" s="938"/>
      <c r="HM36" s="938"/>
      <c r="HN36" s="938"/>
      <c r="HO36" s="938"/>
      <c r="HP36" s="938"/>
      <c r="HQ36" s="938"/>
      <c r="HR36" s="938"/>
    </row>
    <row r="37" spans="1:226" s="939" customFormat="1" ht="15" hidden="1" customHeight="1">
      <c r="A37" s="1499"/>
      <c r="B37" s="1500"/>
      <c r="C37" s="1501"/>
      <c r="D37" s="1502"/>
      <c r="E37" s="963"/>
      <c r="F37" s="964">
        <f>SUM(G37:J37)</f>
        <v>0</v>
      </c>
      <c r="G37" s="964"/>
      <c r="H37" s="964"/>
      <c r="I37" s="964"/>
      <c r="J37" s="946"/>
      <c r="K37" s="938"/>
    </row>
    <row r="38" spans="1:226" s="939" customFormat="1" ht="15" hidden="1" customHeight="1">
      <c r="A38" s="1499"/>
      <c r="B38" s="1500"/>
      <c r="C38" s="1501"/>
      <c r="D38" s="1502"/>
      <c r="E38" s="963"/>
      <c r="F38" s="964">
        <f>SUM(G38:J38)</f>
        <v>0</v>
      </c>
      <c r="G38" s="964"/>
      <c r="H38" s="964"/>
      <c r="I38" s="964"/>
      <c r="J38" s="946"/>
      <c r="K38" s="938"/>
    </row>
    <row r="39" spans="1:226" s="939" customFormat="1" ht="15" hidden="1" customHeight="1">
      <c r="A39" s="1499"/>
      <c r="B39" s="1500"/>
      <c r="C39" s="1501"/>
      <c r="D39" s="1502"/>
      <c r="E39" s="963"/>
      <c r="F39" s="964">
        <f>SUM(G39:J39)</f>
        <v>0</v>
      </c>
      <c r="G39" s="964"/>
      <c r="H39" s="964"/>
      <c r="I39" s="964"/>
      <c r="J39" s="946"/>
      <c r="K39" s="938"/>
    </row>
    <row r="40" spans="1:226" s="939" customFormat="1" ht="24.95" hidden="1" customHeight="1">
      <c r="A40" s="1499"/>
      <c r="B40" s="1500"/>
      <c r="C40" s="1501"/>
      <c r="D40" s="1502"/>
      <c r="E40" s="966" t="s">
        <v>939</v>
      </c>
      <c r="F40" s="958">
        <f>SUM(F41:F43)</f>
        <v>0</v>
      </c>
      <c r="G40" s="958">
        <f>SUM(G41:G43)</f>
        <v>0</v>
      </c>
      <c r="H40" s="958">
        <f>SUM(H41:H43)</f>
        <v>0</v>
      </c>
      <c r="I40" s="958">
        <f>SUM(I41:I43)</f>
        <v>0</v>
      </c>
      <c r="J40" s="942">
        <f>SUM(J41:J43)</f>
        <v>0</v>
      </c>
      <c r="K40" s="938"/>
    </row>
    <row r="41" spans="1:226" s="939" customFormat="1" ht="15" hidden="1" customHeight="1">
      <c r="A41" s="1499"/>
      <c r="B41" s="1500"/>
      <c r="C41" s="1501"/>
      <c r="D41" s="1502"/>
      <c r="E41" s="963"/>
      <c r="F41" s="964">
        <f>SUM(G41:J41)</f>
        <v>0</v>
      </c>
      <c r="G41" s="964"/>
      <c r="H41" s="964"/>
      <c r="I41" s="964"/>
      <c r="J41" s="946"/>
      <c r="K41" s="938"/>
    </row>
    <row r="42" spans="1:226" s="939" customFormat="1" ht="15" hidden="1" customHeight="1">
      <c r="A42" s="1499"/>
      <c r="B42" s="1500"/>
      <c r="C42" s="1501"/>
      <c r="D42" s="1502"/>
      <c r="E42" s="963"/>
      <c r="F42" s="964"/>
      <c r="G42" s="964"/>
      <c r="H42" s="964"/>
      <c r="I42" s="964"/>
      <c r="J42" s="946"/>
      <c r="K42" s="938"/>
    </row>
    <row r="43" spans="1:226" s="939" customFormat="1" ht="15" hidden="1" customHeight="1">
      <c r="A43" s="1499"/>
      <c r="B43" s="1500"/>
      <c r="C43" s="1501"/>
      <c r="D43" s="1502"/>
      <c r="E43" s="975"/>
      <c r="F43" s="964">
        <f>SUM(G43:J43)</f>
        <v>0</v>
      </c>
      <c r="G43" s="964"/>
      <c r="H43" s="964"/>
      <c r="I43" s="964"/>
      <c r="J43" s="946"/>
      <c r="K43" s="938"/>
    </row>
    <row r="44" spans="1:226" s="939" customFormat="1" ht="24.95" customHeight="1">
      <c r="A44" s="1499" t="s">
        <v>935</v>
      </c>
      <c r="B44" s="1500" t="s">
        <v>1018</v>
      </c>
      <c r="C44" s="1502" t="s">
        <v>5</v>
      </c>
      <c r="D44" s="1502" t="s">
        <v>289</v>
      </c>
      <c r="E44" s="954" t="s">
        <v>937</v>
      </c>
      <c r="F44" s="955">
        <f>SUM(F45,F84)</f>
        <v>2464200</v>
      </c>
      <c r="G44" s="955">
        <f>SUM(G45,G84)</f>
        <v>124200</v>
      </c>
      <c r="H44" s="955">
        <f>SUM(H45,H84)</f>
        <v>0</v>
      </c>
      <c r="I44" s="955">
        <f>SUM(I45,I84)</f>
        <v>2340000</v>
      </c>
      <c r="J44" s="937">
        <f>SUM(J45,J84)</f>
        <v>0</v>
      </c>
      <c r="K44" s="938"/>
      <c r="L44" s="938"/>
      <c r="M44" s="938"/>
      <c r="N44" s="938"/>
      <c r="O44" s="938"/>
      <c r="P44" s="938"/>
      <c r="Q44" s="938"/>
      <c r="R44" s="938"/>
      <c r="S44" s="938"/>
      <c r="T44" s="938"/>
      <c r="U44" s="938"/>
      <c r="V44" s="938"/>
      <c r="W44" s="938"/>
      <c r="X44" s="938"/>
      <c r="Y44" s="938"/>
      <c r="Z44" s="938"/>
      <c r="AA44" s="938"/>
      <c r="AB44" s="938"/>
      <c r="AC44" s="938"/>
      <c r="AD44" s="938"/>
      <c r="AE44" s="938"/>
      <c r="AF44" s="938"/>
      <c r="AG44" s="938"/>
      <c r="AH44" s="938"/>
      <c r="AI44" s="938"/>
      <c r="AJ44" s="938"/>
      <c r="AK44" s="938"/>
      <c r="AL44" s="938"/>
      <c r="AM44" s="938"/>
      <c r="AN44" s="938"/>
      <c r="AO44" s="938"/>
      <c r="AP44" s="938"/>
      <c r="AQ44" s="938"/>
      <c r="AR44" s="938"/>
      <c r="AS44" s="938"/>
      <c r="AT44" s="938"/>
      <c r="AU44" s="938"/>
      <c r="AV44" s="938"/>
      <c r="AW44" s="938"/>
      <c r="AX44" s="938"/>
      <c r="AY44" s="938"/>
      <c r="AZ44" s="938"/>
      <c r="BA44" s="938"/>
      <c r="BB44" s="938"/>
      <c r="BC44" s="938"/>
      <c r="BD44" s="938"/>
      <c r="BE44" s="938"/>
      <c r="BF44" s="938"/>
      <c r="BG44" s="938"/>
      <c r="BH44" s="938"/>
      <c r="BI44" s="938"/>
      <c r="BJ44" s="938"/>
      <c r="BK44" s="938"/>
      <c r="BL44" s="938"/>
      <c r="BM44" s="938"/>
      <c r="BN44" s="938"/>
      <c r="BO44" s="938"/>
      <c r="BP44" s="938"/>
      <c r="BQ44" s="938"/>
      <c r="BR44" s="938"/>
      <c r="BS44" s="938"/>
      <c r="BT44" s="938"/>
      <c r="BU44" s="938"/>
      <c r="BV44" s="938"/>
      <c r="BW44" s="938"/>
      <c r="BX44" s="938"/>
      <c r="BY44" s="938"/>
      <c r="BZ44" s="938"/>
      <c r="CA44" s="938"/>
      <c r="CB44" s="938"/>
      <c r="CC44" s="938"/>
      <c r="CD44" s="938"/>
      <c r="CE44" s="938"/>
      <c r="CF44" s="938"/>
      <c r="CG44" s="938"/>
      <c r="CH44" s="938"/>
      <c r="CI44" s="938"/>
      <c r="CJ44" s="938"/>
      <c r="CK44" s="938"/>
      <c r="CL44" s="938"/>
      <c r="CM44" s="938"/>
      <c r="CN44" s="938"/>
      <c r="CO44" s="938"/>
      <c r="CP44" s="938"/>
      <c r="CQ44" s="938"/>
      <c r="CR44" s="938"/>
      <c r="CS44" s="938"/>
      <c r="CT44" s="938"/>
      <c r="CU44" s="938"/>
      <c r="CV44" s="938"/>
      <c r="CW44" s="938"/>
      <c r="CX44" s="938"/>
      <c r="CY44" s="938"/>
      <c r="CZ44" s="938"/>
      <c r="DA44" s="938"/>
      <c r="DB44" s="938"/>
      <c r="DC44" s="938"/>
      <c r="DD44" s="938"/>
      <c r="DE44" s="938"/>
      <c r="DF44" s="938"/>
      <c r="DG44" s="938"/>
      <c r="DH44" s="938"/>
      <c r="DI44" s="938"/>
      <c r="DJ44" s="938"/>
      <c r="DK44" s="938"/>
      <c r="DL44" s="938"/>
      <c r="DM44" s="938"/>
      <c r="DN44" s="938"/>
      <c r="DO44" s="938"/>
      <c r="DP44" s="938"/>
      <c r="DQ44" s="938"/>
      <c r="DR44" s="938"/>
      <c r="DS44" s="938"/>
      <c r="DT44" s="938"/>
      <c r="DU44" s="938"/>
      <c r="DV44" s="938"/>
      <c r="DW44" s="938"/>
      <c r="DX44" s="938"/>
      <c r="DY44" s="938"/>
      <c r="DZ44" s="938"/>
      <c r="EA44" s="938"/>
      <c r="EB44" s="938"/>
      <c r="EC44" s="938"/>
      <c r="ED44" s="938"/>
      <c r="EE44" s="938"/>
      <c r="EF44" s="938"/>
      <c r="EG44" s="938"/>
      <c r="EH44" s="938"/>
      <c r="EI44" s="938"/>
      <c r="EJ44" s="938"/>
      <c r="EK44" s="938"/>
      <c r="EL44" s="938"/>
      <c r="EM44" s="938"/>
      <c r="EN44" s="938"/>
      <c r="EO44" s="938"/>
      <c r="EP44" s="938"/>
      <c r="EQ44" s="938"/>
      <c r="ER44" s="938"/>
      <c r="ES44" s="938"/>
      <c r="ET44" s="938"/>
      <c r="EU44" s="938"/>
      <c r="EV44" s="938"/>
      <c r="EW44" s="938"/>
      <c r="EX44" s="938"/>
      <c r="EY44" s="938"/>
      <c r="EZ44" s="938"/>
      <c r="FA44" s="938"/>
      <c r="FB44" s="938"/>
      <c r="FC44" s="938"/>
      <c r="FD44" s="938"/>
      <c r="FE44" s="938"/>
      <c r="FF44" s="938"/>
      <c r="FG44" s="938"/>
      <c r="FH44" s="938"/>
      <c r="FI44" s="938"/>
      <c r="FJ44" s="938"/>
      <c r="FK44" s="938"/>
      <c r="FL44" s="938"/>
      <c r="FM44" s="938"/>
      <c r="FN44" s="938"/>
      <c r="FO44" s="938"/>
      <c r="FP44" s="938"/>
      <c r="FQ44" s="938"/>
      <c r="FR44" s="938"/>
      <c r="FS44" s="938"/>
      <c r="FT44" s="938"/>
      <c r="FU44" s="938"/>
      <c r="FV44" s="938"/>
      <c r="FW44" s="938"/>
      <c r="FX44" s="938"/>
      <c r="FY44" s="938"/>
      <c r="FZ44" s="938"/>
      <c r="GA44" s="938"/>
      <c r="GB44" s="938"/>
      <c r="GC44" s="938"/>
      <c r="GD44" s="938"/>
      <c r="GE44" s="938"/>
      <c r="GF44" s="938"/>
      <c r="GG44" s="938"/>
      <c r="GH44" s="938"/>
      <c r="GI44" s="938"/>
      <c r="GJ44" s="938"/>
      <c r="GK44" s="938"/>
      <c r="GL44" s="938"/>
      <c r="GM44" s="938"/>
      <c r="GN44" s="938"/>
      <c r="GO44" s="938"/>
      <c r="GP44" s="938"/>
      <c r="GQ44" s="938"/>
      <c r="GR44" s="938"/>
      <c r="GS44" s="938"/>
      <c r="GT44" s="938"/>
      <c r="GU44" s="938"/>
      <c r="GV44" s="938"/>
      <c r="GW44" s="938"/>
      <c r="GX44" s="938"/>
      <c r="GY44" s="938"/>
      <c r="GZ44" s="938"/>
      <c r="HA44" s="938"/>
      <c r="HB44" s="938"/>
      <c r="HC44" s="938"/>
      <c r="HD44" s="938"/>
      <c r="HE44" s="938"/>
      <c r="HF44" s="938"/>
      <c r="HG44" s="938"/>
      <c r="HH44" s="938"/>
      <c r="HI44" s="938"/>
      <c r="HJ44" s="938"/>
      <c r="HK44" s="938"/>
      <c r="HL44" s="938"/>
      <c r="HM44" s="938"/>
      <c r="HN44" s="938"/>
      <c r="HO44" s="938"/>
      <c r="HP44" s="938"/>
      <c r="HQ44" s="938"/>
      <c r="HR44" s="938"/>
    </row>
    <row r="45" spans="1:226" s="939" customFormat="1" ht="20.100000000000001" customHeight="1">
      <c r="A45" s="1499"/>
      <c r="B45" s="1500"/>
      <c r="C45" s="1502"/>
      <c r="D45" s="1502"/>
      <c r="E45" s="957" t="s">
        <v>943</v>
      </c>
      <c r="F45" s="958">
        <f>SUM(F46,F57)</f>
        <v>2464200</v>
      </c>
      <c r="G45" s="958">
        <f>SUM(G46,G57)</f>
        <v>124200</v>
      </c>
      <c r="H45" s="958">
        <f>SUM(H46,H57)</f>
        <v>0</v>
      </c>
      <c r="I45" s="958">
        <f>SUM(I46,I57)</f>
        <v>2340000</v>
      </c>
      <c r="J45" s="942">
        <f>SUM(J46,J57)</f>
        <v>0</v>
      </c>
      <c r="K45" s="938"/>
    </row>
    <row r="46" spans="1:226" s="939" customFormat="1" ht="24.95" customHeight="1">
      <c r="A46" s="1499"/>
      <c r="B46" s="1500"/>
      <c r="C46" s="1502"/>
      <c r="D46" s="1502"/>
      <c r="E46" s="960" t="s">
        <v>944</v>
      </c>
      <c r="F46" s="961">
        <f>SUM(F47:F56)</f>
        <v>1800000</v>
      </c>
      <c r="G46" s="961">
        <f>SUM(G47:G56)</f>
        <v>0</v>
      </c>
      <c r="H46" s="961">
        <f>SUM(H47:H56)</f>
        <v>0</v>
      </c>
      <c r="I46" s="961">
        <f>SUM(I47:I56)</f>
        <v>1800000</v>
      </c>
      <c r="J46" s="951">
        <f>SUM(J47:J56)</f>
        <v>0</v>
      </c>
      <c r="K46" s="938"/>
    </row>
    <row r="47" spans="1:226" s="939" customFormat="1" ht="15" customHeight="1">
      <c r="A47" s="1499"/>
      <c r="B47" s="1500"/>
      <c r="C47" s="1502"/>
      <c r="D47" s="1502"/>
      <c r="E47" s="963" t="s">
        <v>291</v>
      </c>
      <c r="F47" s="964">
        <f t="shared" ref="F47:F56" si="2">SUM(G47:J47)</f>
        <v>929000</v>
      </c>
      <c r="G47" s="964"/>
      <c r="H47" s="964"/>
      <c r="I47" s="964">
        <v>929000</v>
      </c>
      <c r="J47" s="946"/>
      <c r="K47" s="938"/>
    </row>
    <row r="48" spans="1:226" s="939" customFormat="1" ht="15" customHeight="1">
      <c r="A48" s="1499"/>
      <c r="B48" s="1500"/>
      <c r="C48" s="1502"/>
      <c r="D48" s="1502"/>
      <c r="E48" s="963" t="s">
        <v>292</v>
      </c>
      <c r="F48" s="964">
        <f t="shared" si="2"/>
        <v>531000</v>
      </c>
      <c r="G48" s="964"/>
      <c r="H48" s="964"/>
      <c r="I48" s="964">
        <v>531000</v>
      </c>
      <c r="J48" s="946"/>
      <c r="K48" s="938"/>
    </row>
    <row r="49" spans="1:11" s="939" customFormat="1" ht="15" hidden="1" customHeight="1">
      <c r="A49" s="1499"/>
      <c r="B49" s="1500"/>
      <c r="C49" s="1502"/>
      <c r="D49" s="1502"/>
      <c r="E49" s="963" t="s">
        <v>293</v>
      </c>
      <c r="F49" s="964">
        <f t="shared" si="2"/>
        <v>0</v>
      </c>
      <c r="G49" s="964"/>
      <c r="H49" s="964"/>
      <c r="I49" s="964"/>
      <c r="J49" s="946"/>
      <c r="K49" s="938"/>
    </row>
    <row r="50" spans="1:11" s="939" customFormat="1" ht="15" hidden="1" customHeight="1">
      <c r="A50" s="1499"/>
      <c r="B50" s="1500"/>
      <c r="C50" s="1502"/>
      <c r="D50" s="1502"/>
      <c r="E50" s="963" t="s">
        <v>294</v>
      </c>
      <c r="F50" s="964">
        <f t="shared" si="2"/>
        <v>0</v>
      </c>
      <c r="G50" s="964"/>
      <c r="H50" s="964"/>
      <c r="I50" s="964"/>
      <c r="J50" s="946"/>
      <c r="K50" s="938"/>
    </row>
    <row r="51" spans="1:11" s="939" customFormat="1" ht="15" customHeight="1">
      <c r="A51" s="1499"/>
      <c r="B51" s="1500"/>
      <c r="C51" s="1502"/>
      <c r="D51" s="1502"/>
      <c r="E51" s="963" t="s">
        <v>295</v>
      </c>
      <c r="F51" s="964">
        <f t="shared" si="2"/>
        <v>184500</v>
      </c>
      <c r="G51" s="964"/>
      <c r="H51" s="964"/>
      <c r="I51" s="964">
        <v>184500</v>
      </c>
      <c r="J51" s="946"/>
      <c r="K51" s="938"/>
    </row>
    <row r="52" spans="1:11" s="939" customFormat="1" ht="15" customHeight="1">
      <c r="A52" s="1499"/>
      <c r="B52" s="1500"/>
      <c r="C52" s="1502"/>
      <c r="D52" s="1502"/>
      <c r="E52" s="963" t="s">
        <v>296</v>
      </c>
      <c r="F52" s="964">
        <f t="shared" si="2"/>
        <v>105500</v>
      </c>
      <c r="G52" s="964"/>
      <c r="H52" s="964"/>
      <c r="I52" s="964">
        <v>105500</v>
      </c>
      <c r="J52" s="946"/>
      <c r="K52" s="938"/>
    </row>
    <row r="53" spans="1:11" s="939" customFormat="1" ht="15" customHeight="1">
      <c r="A53" s="1499"/>
      <c r="B53" s="1500"/>
      <c r="C53" s="1502"/>
      <c r="D53" s="1502"/>
      <c r="E53" s="963" t="s">
        <v>297</v>
      </c>
      <c r="F53" s="964">
        <f t="shared" si="2"/>
        <v>31840</v>
      </c>
      <c r="G53" s="964"/>
      <c r="H53" s="964"/>
      <c r="I53" s="964">
        <v>31840</v>
      </c>
      <c r="J53" s="946"/>
      <c r="K53" s="938"/>
    </row>
    <row r="54" spans="1:11" s="939" customFormat="1" ht="15" customHeight="1">
      <c r="A54" s="1499"/>
      <c r="B54" s="1500"/>
      <c r="C54" s="1502"/>
      <c r="D54" s="1502"/>
      <c r="E54" s="963" t="s">
        <v>298</v>
      </c>
      <c r="F54" s="964">
        <f t="shared" si="2"/>
        <v>18160</v>
      </c>
      <c r="G54" s="964"/>
      <c r="H54" s="964"/>
      <c r="I54" s="964">
        <v>18160</v>
      </c>
      <c r="J54" s="946"/>
      <c r="K54" s="938"/>
    </row>
    <row r="55" spans="1:11" s="939" customFormat="1" ht="15" hidden="1" customHeight="1">
      <c r="A55" s="1499"/>
      <c r="B55" s="1500"/>
      <c r="C55" s="1502"/>
      <c r="D55" s="1502"/>
      <c r="E55" s="963" t="s">
        <v>299</v>
      </c>
      <c r="F55" s="964">
        <f t="shared" si="2"/>
        <v>0</v>
      </c>
      <c r="G55" s="964"/>
      <c r="H55" s="964"/>
      <c r="I55" s="964"/>
      <c r="J55" s="946"/>
      <c r="K55" s="938"/>
    </row>
    <row r="56" spans="1:11" s="939" customFormat="1" ht="15" hidden="1" customHeight="1">
      <c r="A56" s="1499"/>
      <c r="B56" s="1500"/>
      <c r="C56" s="1502"/>
      <c r="D56" s="1502"/>
      <c r="E56" s="963" t="s">
        <v>300</v>
      </c>
      <c r="F56" s="964">
        <f t="shared" si="2"/>
        <v>0</v>
      </c>
      <c r="G56" s="964"/>
      <c r="H56" s="964"/>
      <c r="I56" s="964"/>
      <c r="J56" s="946"/>
      <c r="K56" s="938"/>
    </row>
    <row r="57" spans="1:11" s="939" customFormat="1" ht="24.95" customHeight="1">
      <c r="A57" s="1499"/>
      <c r="B57" s="1500"/>
      <c r="C57" s="1502"/>
      <c r="D57" s="1502"/>
      <c r="E57" s="960" t="s">
        <v>945</v>
      </c>
      <c r="F57" s="961">
        <f>SUM(F58:F83)</f>
        <v>664200</v>
      </c>
      <c r="G57" s="961">
        <f>SUM(G58:G83)</f>
        <v>124200</v>
      </c>
      <c r="H57" s="961">
        <f>SUM(H58:H83)</f>
        <v>0</v>
      </c>
      <c r="I57" s="961">
        <f>SUM(I58:I83)</f>
        <v>540000</v>
      </c>
      <c r="J57" s="951">
        <f>SUM(J58:J83)</f>
        <v>0</v>
      </c>
      <c r="K57" s="938"/>
    </row>
    <row r="58" spans="1:11" s="939" customFormat="1" ht="15" hidden="1" customHeight="1">
      <c r="A58" s="1499"/>
      <c r="B58" s="1500"/>
      <c r="C58" s="1502"/>
      <c r="D58" s="1502"/>
      <c r="E58" s="976" t="s">
        <v>954</v>
      </c>
      <c r="F58" s="964">
        <f t="shared" ref="F58:F83" si="3">SUM(G58:J58)</f>
        <v>0</v>
      </c>
      <c r="G58" s="964"/>
      <c r="H58" s="964"/>
      <c r="I58" s="964"/>
      <c r="J58" s="946"/>
      <c r="K58" s="938"/>
    </row>
    <row r="59" spans="1:11" s="939" customFormat="1" ht="15" hidden="1" customHeight="1">
      <c r="A59" s="1499"/>
      <c r="B59" s="1500"/>
      <c r="C59" s="1502"/>
      <c r="D59" s="1502"/>
      <c r="E59" s="976" t="s">
        <v>977</v>
      </c>
      <c r="F59" s="964">
        <f t="shared" si="3"/>
        <v>0</v>
      </c>
      <c r="G59" s="964"/>
      <c r="H59" s="964"/>
      <c r="I59" s="964"/>
      <c r="J59" s="946"/>
      <c r="K59" s="938"/>
    </row>
    <row r="60" spans="1:11" s="939" customFormat="1" ht="15" customHeight="1">
      <c r="A60" s="1499"/>
      <c r="B60" s="1500"/>
      <c r="C60" s="1502"/>
      <c r="D60" s="1502"/>
      <c r="E60" s="963" t="s">
        <v>229</v>
      </c>
      <c r="F60" s="964">
        <f t="shared" si="3"/>
        <v>33580</v>
      </c>
      <c r="G60" s="964">
        <v>33580</v>
      </c>
      <c r="H60" s="964"/>
      <c r="I60" s="964"/>
      <c r="J60" s="946"/>
      <c r="K60" s="938"/>
    </row>
    <row r="61" spans="1:11" s="939" customFormat="1" ht="15" customHeight="1">
      <c r="A61" s="1499"/>
      <c r="B61" s="1500"/>
      <c r="C61" s="1502"/>
      <c r="D61" s="1502"/>
      <c r="E61" s="963" t="s">
        <v>301</v>
      </c>
      <c r="F61" s="964">
        <f t="shared" si="3"/>
        <v>93000</v>
      </c>
      <c r="G61" s="964"/>
      <c r="H61" s="964"/>
      <c r="I61" s="964">
        <v>93000</v>
      </c>
      <c r="J61" s="946"/>
      <c r="K61" s="938"/>
    </row>
    <row r="62" spans="1:11" s="939" customFormat="1" ht="15" customHeight="1">
      <c r="A62" s="1499"/>
      <c r="B62" s="1500"/>
      <c r="C62" s="1502"/>
      <c r="D62" s="1502"/>
      <c r="E62" s="963" t="s">
        <v>302</v>
      </c>
      <c r="F62" s="964">
        <f t="shared" si="3"/>
        <v>53000</v>
      </c>
      <c r="G62" s="964"/>
      <c r="H62" s="964"/>
      <c r="I62" s="964">
        <v>53000</v>
      </c>
      <c r="J62" s="946"/>
      <c r="K62" s="938"/>
    </row>
    <row r="63" spans="1:11" s="939" customFormat="1" ht="15" customHeight="1">
      <c r="A63" s="1499"/>
      <c r="B63" s="1500"/>
      <c r="C63" s="1502"/>
      <c r="D63" s="1502"/>
      <c r="E63" s="963" t="s">
        <v>237</v>
      </c>
      <c r="F63" s="964">
        <f t="shared" si="3"/>
        <v>84410</v>
      </c>
      <c r="G63" s="964">
        <v>84410</v>
      </c>
      <c r="H63" s="964"/>
      <c r="I63" s="964"/>
      <c r="J63" s="946"/>
      <c r="K63" s="938"/>
    </row>
    <row r="64" spans="1:11" s="939" customFormat="1" ht="15" customHeight="1">
      <c r="A64" s="1499"/>
      <c r="B64" s="1500"/>
      <c r="C64" s="1502"/>
      <c r="D64" s="1502"/>
      <c r="E64" s="963" t="s">
        <v>303</v>
      </c>
      <c r="F64" s="964">
        <f t="shared" si="3"/>
        <v>233500</v>
      </c>
      <c r="G64" s="964"/>
      <c r="H64" s="964"/>
      <c r="I64" s="964">
        <v>233500</v>
      </c>
      <c r="J64" s="946"/>
      <c r="K64" s="938"/>
    </row>
    <row r="65" spans="1:226" s="939" customFormat="1" ht="15" customHeight="1">
      <c r="A65" s="1499"/>
      <c r="B65" s="1500"/>
      <c r="C65" s="1502"/>
      <c r="D65" s="1502"/>
      <c r="E65" s="963" t="s">
        <v>304</v>
      </c>
      <c r="F65" s="964">
        <f t="shared" si="3"/>
        <v>133500</v>
      </c>
      <c r="G65" s="964"/>
      <c r="H65" s="964"/>
      <c r="I65" s="964">
        <v>133500</v>
      </c>
      <c r="J65" s="946"/>
      <c r="K65" s="938"/>
    </row>
    <row r="66" spans="1:226" s="939" customFormat="1" ht="15" customHeight="1">
      <c r="A66" s="1499"/>
      <c r="B66" s="1500"/>
      <c r="C66" s="1502"/>
      <c r="D66" s="1502"/>
      <c r="E66" s="963" t="s">
        <v>239</v>
      </c>
      <c r="F66" s="964">
        <f t="shared" si="3"/>
        <v>230</v>
      </c>
      <c r="G66" s="964">
        <v>230</v>
      </c>
      <c r="H66" s="964"/>
      <c r="I66" s="964"/>
      <c r="J66" s="946"/>
      <c r="K66" s="938"/>
    </row>
    <row r="67" spans="1:226" s="939" customFormat="1" ht="15" customHeight="1">
      <c r="A67" s="1499"/>
      <c r="B67" s="1500"/>
      <c r="C67" s="1502"/>
      <c r="D67" s="1502"/>
      <c r="E67" s="963" t="s">
        <v>305</v>
      </c>
      <c r="F67" s="964">
        <f t="shared" si="3"/>
        <v>630</v>
      </c>
      <c r="G67" s="964"/>
      <c r="H67" s="964"/>
      <c r="I67" s="964">
        <v>630</v>
      </c>
      <c r="J67" s="946"/>
      <c r="K67" s="938"/>
    </row>
    <row r="68" spans="1:226" s="939" customFormat="1" ht="15" customHeight="1">
      <c r="A68" s="1499"/>
      <c r="B68" s="1500"/>
      <c r="C68" s="1502"/>
      <c r="D68" s="1502"/>
      <c r="E68" s="963" t="s">
        <v>306</v>
      </c>
      <c r="F68" s="964">
        <f t="shared" si="3"/>
        <v>370</v>
      </c>
      <c r="G68" s="964"/>
      <c r="H68" s="964"/>
      <c r="I68" s="964">
        <v>370</v>
      </c>
      <c r="J68" s="946"/>
      <c r="K68" s="938"/>
    </row>
    <row r="69" spans="1:226" s="939" customFormat="1" ht="15" customHeight="1">
      <c r="A69" s="1499"/>
      <c r="B69" s="1500"/>
      <c r="C69" s="1502"/>
      <c r="D69" s="1502"/>
      <c r="E69" s="963" t="s">
        <v>241</v>
      </c>
      <c r="F69" s="964">
        <f t="shared" si="3"/>
        <v>230</v>
      </c>
      <c r="G69" s="964">
        <v>230</v>
      </c>
      <c r="H69" s="964"/>
      <c r="I69" s="964"/>
      <c r="J69" s="946"/>
      <c r="K69" s="938"/>
    </row>
    <row r="70" spans="1:226" s="939" customFormat="1" ht="15" customHeight="1">
      <c r="A70" s="1499"/>
      <c r="B70" s="1500"/>
      <c r="C70" s="1502"/>
      <c r="D70" s="1502"/>
      <c r="E70" s="963" t="s">
        <v>307</v>
      </c>
      <c r="F70" s="964">
        <f t="shared" si="3"/>
        <v>630</v>
      </c>
      <c r="G70" s="964"/>
      <c r="H70" s="964"/>
      <c r="I70" s="964">
        <v>630</v>
      </c>
      <c r="J70" s="946"/>
      <c r="K70" s="938"/>
    </row>
    <row r="71" spans="1:226" s="939" customFormat="1" ht="15" customHeight="1">
      <c r="A71" s="1499"/>
      <c r="B71" s="1500"/>
      <c r="C71" s="1502"/>
      <c r="D71" s="1502"/>
      <c r="E71" s="963" t="s">
        <v>308</v>
      </c>
      <c r="F71" s="964">
        <f t="shared" si="3"/>
        <v>370</v>
      </c>
      <c r="G71" s="964"/>
      <c r="H71" s="964"/>
      <c r="I71" s="964">
        <v>370</v>
      </c>
      <c r="J71" s="946"/>
      <c r="K71" s="938"/>
    </row>
    <row r="72" spans="1:226" s="939" customFormat="1" ht="15" customHeight="1">
      <c r="A72" s="1499"/>
      <c r="B72" s="1500"/>
      <c r="C72" s="1502"/>
      <c r="D72" s="1502"/>
      <c r="E72" s="963" t="s">
        <v>249</v>
      </c>
      <c r="F72" s="964">
        <f t="shared" si="3"/>
        <v>4600</v>
      </c>
      <c r="G72" s="964">
        <v>4600</v>
      </c>
      <c r="H72" s="964"/>
      <c r="I72" s="964"/>
      <c r="J72" s="946"/>
      <c r="K72" s="938"/>
    </row>
    <row r="73" spans="1:226" s="939" customFormat="1" ht="15" customHeight="1">
      <c r="A73" s="1499"/>
      <c r="B73" s="1500"/>
      <c r="C73" s="1502"/>
      <c r="D73" s="1502"/>
      <c r="E73" s="963" t="s">
        <v>309</v>
      </c>
      <c r="F73" s="964">
        <f t="shared" si="3"/>
        <v>12700</v>
      </c>
      <c r="G73" s="964"/>
      <c r="H73" s="964"/>
      <c r="I73" s="964">
        <v>12700</v>
      </c>
      <c r="J73" s="946"/>
      <c r="K73" s="938"/>
    </row>
    <row r="74" spans="1:226" s="939" customFormat="1" ht="15" customHeight="1">
      <c r="A74" s="1499"/>
      <c r="B74" s="1500"/>
      <c r="C74" s="1502"/>
      <c r="D74" s="1502"/>
      <c r="E74" s="963" t="s">
        <v>310</v>
      </c>
      <c r="F74" s="964">
        <f t="shared" si="3"/>
        <v>7300</v>
      </c>
      <c r="G74" s="964"/>
      <c r="H74" s="964"/>
      <c r="I74" s="964">
        <v>7300</v>
      </c>
      <c r="J74" s="946"/>
      <c r="K74" s="938"/>
    </row>
    <row r="75" spans="1:226" s="939" customFormat="1" ht="15" hidden="1" customHeight="1">
      <c r="A75" s="1499"/>
      <c r="B75" s="1500"/>
      <c r="C75" s="1502"/>
      <c r="D75" s="1502"/>
      <c r="E75" s="963" t="s">
        <v>311</v>
      </c>
      <c r="F75" s="964">
        <f t="shared" si="3"/>
        <v>0</v>
      </c>
      <c r="G75" s="964"/>
      <c r="H75" s="964"/>
      <c r="I75" s="964"/>
      <c r="J75" s="946"/>
      <c r="K75" s="938"/>
    </row>
    <row r="76" spans="1:226" s="939" customFormat="1" ht="15" hidden="1" customHeight="1">
      <c r="A76" s="1499"/>
      <c r="B76" s="1500"/>
      <c r="C76" s="1502"/>
      <c r="D76" s="1502"/>
      <c r="E76" s="963" t="s">
        <v>313</v>
      </c>
      <c r="F76" s="964">
        <f t="shared" si="3"/>
        <v>0</v>
      </c>
      <c r="G76" s="964"/>
      <c r="H76" s="964"/>
      <c r="I76" s="964"/>
      <c r="J76" s="946"/>
      <c r="K76" s="938"/>
    </row>
    <row r="77" spans="1:226" s="939" customFormat="1" ht="15" hidden="1" customHeight="1">
      <c r="A77" s="1499"/>
      <c r="B77" s="1500"/>
      <c r="C77" s="1502"/>
      <c r="D77" s="1502"/>
      <c r="E77" s="963" t="s">
        <v>314</v>
      </c>
      <c r="F77" s="964">
        <f t="shared" si="3"/>
        <v>0</v>
      </c>
      <c r="G77" s="964"/>
      <c r="H77" s="964"/>
      <c r="I77" s="964"/>
      <c r="J77" s="946"/>
      <c r="K77" s="938"/>
      <c r="L77" s="938"/>
      <c r="M77" s="938"/>
      <c r="N77" s="938"/>
      <c r="O77" s="938"/>
      <c r="P77" s="938"/>
      <c r="Q77" s="938"/>
      <c r="R77" s="938"/>
      <c r="S77" s="938"/>
      <c r="T77" s="938"/>
      <c r="U77" s="938"/>
      <c r="V77" s="938"/>
      <c r="W77" s="938"/>
      <c r="X77" s="938"/>
      <c r="Y77" s="938"/>
      <c r="Z77" s="938"/>
      <c r="AA77" s="938"/>
      <c r="AB77" s="938"/>
      <c r="AC77" s="938"/>
      <c r="AD77" s="938"/>
      <c r="AE77" s="938"/>
      <c r="AF77" s="938"/>
      <c r="AG77" s="938"/>
      <c r="AH77" s="938"/>
      <c r="AI77" s="938"/>
      <c r="AJ77" s="938"/>
      <c r="AK77" s="938"/>
      <c r="AL77" s="938"/>
      <c r="AM77" s="938"/>
      <c r="AN77" s="938"/>
      <c r="AO77" s="938"/>
      <c r="AP77" s="938"/>
      <c r="AQ77" s="938"/>
      <c r="AR77" s="938"/>
      <c r="AS77" s="938"/>
      <c r="AT77" s="938"/>
      <c r="AU77" s="938"/>
      <c r="AV77" s="938"/>
      <c r="AW77" s="938"/>
      <c r="AX77" s="938"/>
      <c r="AY77" s="938"/>
      <c r="AZ77" s="938"/>
      <c r="BA77" s="938"/>
      <c r="BB77" s="938"/>
      <c r="BC77" s="938"/>
      <c r="BD77" s="938"/>
      <c r="BE77" s="938"/>
      <c r="BF77" s="938"/>
      <c r="BG77" s="938"/>
      <c r="BH77" s="938"/>
      <c r="BI77" s="938"/>
      <c r="BJ77" s="938"/>
      <c r="BK77" s="938"/>
      <c r="BL77" s="938"/>
      <c r="BM77" s="938"/>
      <c r="BN77" s="938"/>
      <c r="BO77" s="938"/>
      <c r="BP77" s="938"/>
      <c r="BQ77" s="938"/>
      <c r="BR77" s="938"/>
      <c r="BS77" s="938"/>
      <c r="BT77" s="938"/>
      <c r="BU77" s="938"/>
      <c r="BV77" s="938"/>
      <c r="BW77" s="938"/>
      <c r="BX77" s="938"/>
      <c r="BY77" s="938"/>
      <c r="BZ77" s="938"/>
      <c r="CA77" s="938"/>
      <c r="CB77" s="938"/>
      <c r="CC77" s="938"/>
      <c r="CD77" s="938"/>
      <c r="CE77" s="938"/>
      <c r="CF77" s="938"/>
      <c r="CG77" s="938"/>
      <c r="CH77" s="938"/>
      <c r="CI77" s="938"/>
      <c r="CJ77" s="938"/>
      <c r="CK77" s="938"/>
      <c r="CL77" s="938"/>
      <c r="CM77" s="938"/>
      <c r="CN77" s="938"/>
      <c r="CO77" s="938"/>
      <c r="CP77" s="938"/>
      <c r="CQ77" s="938"/>
      <c r="CR77" s="938"/>
      <c r="CS77" s="938"/>
      <c r="CT77" s="938"/>
      <c r="CU77" s="938"/>
      <c r="CV77" s="938"/>
      <c r="CW77" s="938"/>
      <c r="CX77" s="938"/>
      <c r="CY77" s="938"/>
      <c r="CZ77" s="938"/>
      <c r="DA77" s="938"/>
      <c r="DB77" s="938"/>
      <c r="DC77" s="938"/>
      <c r="DD77" s="938"/>
      <c r="DE77" s="938"/>
      <c r="DF77" s="938"/>
      <c r="DG77" s="938"/>
      <c r="DH77" s="938"/>
      <c r="DI77" s="938"/>
      <c r="DJ77" s="938"/>
      <c r="DK77" s="938"/>
      <c r="DL77" s="938"/>
      <c r="DM77" s="938"/>
      <c r="DN77" s="938"/>
      <c r="DO77" s="938"/>
      <c r="DP77" s="938"/>
      <c r="DQ77" s="938"/>
      <c r="DR77" s="938"/>
      <c r="DS77" s="938"/>
      <c r="DT77" s="938"/>
      <c r="DU77" s="938"/>
      <c r="DV77" s="938"/>
      <c r="DW77" s="938"/>
      <c r="DX77" s="938"/>
      <c r="DY77" s="938"/>
      <c r="DZ77" s="938"/>
      <c r="EA77" s="938"/>
      <c r="EB77" s="938"/>
      <c r="EC77" s="938"/>
      <c r="ED77" s="938"/>
      <c r="EE77" s="938"/>
      <c r="EF77" s="938"/>
      <c r="EG77" s="938"/>
      <c r="EH77" s="938"/>
      <c r="EI77" s="938"/>
      <c r="EJ77" s="938"/>
      <c r="EK77" s="938"/>
      <c r="EL77" s="938"/>
      <c r="EM77" s="938"/>
      <c r="EN77" s="938"/>
      <c r="EO77" s="938"/>
      <c r="EP77" s="938"/>
      <c r="EQ77" s="938"/>
      <c r="ER77" s="938"/>
      <c r="ES77" s="938"/>
      <c r="ET77" s="938"/>
      <c r="EU77" s="938"/>
      <c r="EV77" s="938"/>
      <c r="EW77" s="938"/>
      <c r="EX77" s="938"/>
      <c r="EY77" s="938"/>
      <c r="EZ77" s="938"/>
      <c r="FA77" s="938"/>
      <c r="FB77" s="938"/>
      <c r="FC77" s="938"/>
      <c r="FD77" s="938"/>
      <c r="FE77" s="938"/>
      <c r="FF77" s="938"/>
      <c r="FG77" s="938"/>
      <c r="FH77" s="938"/>
      <c r="FI77" s="938"/>
      <c r="FJ77" s="938"/>
      <c r="FK77" s="938"/>
      <c r="FL77" s="938"/>
      <c r="FM77" s="938"/>
      <c r="FN77" s="938"/>
      <c r="FO77" s="938"/>
      <c r="FP77" s="938"/>
      <c r="FQ77" s="938"/>
      <c r="FR77" s="938"/>
      <c r="FS77" s="938"/>
      <c r="FT77" s="938"/>
      <c r="FU77" s="938"/>
      <c r="FV77" s="938"/>
      <c r="FW77" s="938"/>
      <c r="FX77" s="938"/>
      <c r="FY77" s="938"/>
      <c r="FZ77" s="938"/>
      <c r="GA77" s="938"/>
      <c r="GB77" s="938"/>
      <c r="GC77" s="938"/>
      <c r="GD77" s="938"/>
      <c r="GE77" s="938"/>
      <c r="GF77" s="938"/>
      <c r="GG77" s="938"/>
      <c r="GH77" s="938"/>
      <c r="GI77" s="938"/>
      <c r="GJ77" s="938"/>
      <c r="GK77" s="938"/>
      <c r="GL77" s="938"/>
      <c r="GM77" s="938"/>
      <c r="GN77" s="938"/>
      <c r="GO77" s="938"/>
      <c r="GP77" s="938"/>
      <c r="GQ77" s="938"/>
      <c r="GR77" s="938"/>
      <c r="GS77" s="938"/>
      <c r="GT77" s="938"/>
      <c r="GU77" s="938"/>
      <c r="GV77" s="938"/>
      <c r="GW77" s="938"/>
      <c r="GX77" s="938"/>
      <c r="GY77" s="938"/>
      <c r="GZ77" s="938"/>
      <c r="HA77" s="938"/>
      <c r="HB77" s="938"/>
      <c r="HC77" s="938"/>
      <c r="HD77" s="938"/>
      <c r="HE77" s="938"/>
      <c r="HF77" s="938"/>
      <c r="HG77" s="938"/>
      <c r="HH77" s="938"/>
      <c r="HI77" s="938"/>
      <c r="HJ77" s="938"/>
      <c r="HK77" s="938"/>
      <c r="HL77" s="938"/>
      <c r="HM77" s="938"/>
      <c r="HN77" s="938"/>
      <c r="HO77" s="938"/>
      <c r="HP77" s="938"/>
      <c r="HQ77" s="938"/>
      <c r="HR77" s="938"/>
    </row>
    <row r="78" spans="1:226" s="939" customFormat="1" ht="15" hidden="1" customHeight="1">
      <c r="A78" s="1499"/>
      <c r="B78" s="1500"/>
      <c r="C78" s="1502"/>
      <c r="D78" s="1502"/>
      <c r="E78" s="963" t="s">
        <v>251</v>
      </c>
      <c r="F78" s="964">
        <f t="shared" si="3"/>
        <v>0</v>
      </c>
      <c r="G78" s="964"/>
      <c r="H78" s="964"/>
      <c r="I78" s="964"/>
      <c r="J78" s="946"/>
      <c r="K78" s="938"/>
      <c r="L78" s="938"/>
      <c r="M78" s="938"/>
      <c r="N78" s="938"/>
      <c r="O78" s="938"/>
      <c r="P78" s="938"/>
      <c r="Q78" s="938"/>
      <c r="R78" s="938"/>
      <c r="S78" s="938"/>
      <c r="T78" s="938"/>
      <c r="U78" s="938"/>
      <c r="V78" s="938"/>
      <c r="W78" s="938"/>
      <c r="X78" s="938"/>
      <c r="Y78" s="938"/>
      <c r="Z78" s="938"/>
      <c r="AA78" s="938"/>
      <c r="AB78" s="938"/>
      <c r="AC78" s="938"/>
      <c r="AD78" s="938"/>
      <c r="AE78" s="938"/>
      <c r="AF78" s="938"/>
      <c r="AG78" s="938"/>
      <c r="AH78" s="938"/>
      <c r="AI78" s="938"/>
      <c r="AJ78" s="938"/>
      <c r="AK78" s="938"/>
      <c r="AL78" s="938"/>
      <c r="AM78" s="938"/>
      <c r="AN78" s="938"/>
      <c r="AO78" s="938"/>
      <c r="AP78" s="938"/>
      <c r="AQ78" s="938"/>
      <c r="AR78" s="938"/>
      <c r="AS78" s="938"/>
      <c r="AT78" s="938"/>
      <c r="AU78" s="938"/>
      <c r="AV78" s="938"/>
      <c r="AW78" s="938"/>
      <c r="AX78" s="938"/>
      <c r="AY78" s="938"/>
      <c r="AZ78" s="938"/>
      <c r="BA78" s="938"/>
      <c r="BB78" s="938"/>
      <c r="BC78" s="938"/>
      <c r="BD78" s="938"/>
      <c r="BE78" s="938"/>
      <c r="BF78" s="938"/>
      <c r="BG78" s="938"/>
      <c r="BH78" s="938"/>
      <c r="BI78" s="938"/>
      <c r="BJ78" s="938"/>
      <c r="BK78" s="938"/>
      <c r="BL78" s="938"/>
      <c r="BM78" s="938"/>
      <c r="BN78" s="938"/>
      <c r="BO78" s="938"/>
      <c r="BP78" s="938"/>
      <c r="BQ78" s="938"/>
      <c r="BR78" s="938"/>
      <c r="BS78" s="938"/>
      <c r="BT78" s="938"/>
      <c r="BU78" s="938"/>
      <c r="BV78" s="938"/>
      <c r="BW78" s="938"/>
      <c r="BX78" s="938"/>
      <c r="BY78" s="938"/>
      <c r="BZ78" s="938"/>
      <c r="CA78" s="938"/>
      <c r="CB78" s="938"/>
      <c r="CC78" s="938"/>
      <c r="CD78" s="938"/>
      <c r="CE78" s="938"/>
      <c r="CF78" s="938"/>
      <c r="CG78" s="938"/>
      <c r="CH78" s="938"/>
      <c r="CI78" s="938"/>
      <c r="CJ78" s="938"/>
      <c r="CK78" s="938"/>
      <c r="CL78" s="938"/>
      <c r="CM78" s="938"/>
      <c r="CN78" s="938"/>
      <c r="CO78" s="938"/>
      <c r="CP78" s="938"/>
      <c r="CQ78" s="938"/>
      <c r="CR78" s="938"/>
      <c r="CS78" s="938"/>
      <c r="CT78" s="938"/>
      <c r="CU78" s="938"/>
      <c r="CV78" s="938"/>
      <c r="CW78" s="938"/>
      <c r="CX78" s="938"/>
      <c r="CY78" s="938"/>
      <c r="CZ78" s="938"/>
      <c r="DA78" s="938"/>
      <c r="DB78" s="938"/>
      <c r="DC78" s="938"/>
      <c r="DD78" s="938"/>
      <c r="DE78" s="938"/>
      <c r="DF78" s="938"/>
      <c r="DG78" s="938"/>
      <c r="DH78" s="938"/>
      <c r="DI78" s="938"/>
      <c r="DJ78" s="938"/>
      <c r="DK78" s="938"/>
      <c r="DL78" s="938"/>
      <c r="DM78" s="938"/>
      <c r="DN78" s="938"/>
      <c r="DO78" s="938"/>
      <c r="DP78" s="938"/>
      <c r="DQ78" s="938"/>
      <c r="DR78" s="938"/>
      <c r="DS78" s="938"/>
      <c r="DT78" s="938"/>
      <c r="DU78" s="938"/>
      <c r="DV78" s="938"/>
      <c r="DW78" s="938"/>
      <c r="DX78" s="938"/>
      <c r="DY78" s="938"/>
      <c r="DZ78" s="938"/>
      <c r="EA78" s="938"/>
      <c r="EB78" s="938"/>
      <c r="EC78" s="938"/>
      <c r="ED78" s="938"/>
      <c r="EE78" s="938"/>
      <c r="EF78" s="938"/>
      <c r="EG78" s="938"/>
      <c r="EH78" s="938"/>
      <c r="EI78" s="938"/>
      <c r="EJ78" s="938"/>
      <c r="EK78" s="938"/>
      <c r="EL78" s="938"/>
      <c r="EM78" s="938"/>
      <c r="EN78" s="938"/>
      <c r="EO78" s="938"/>
      <c r="EP78" s="938"/>
      <c r="EQ78" s="938"/>
      <c r="ER78" s="938"/>
      <c r="ES78" s="938"/>
      <c r="ET78" s="938"/>
      <c r="EU78" s="938"/>
      <c r="EV78" s="938"/>
      <c r="EW78" s="938"/>
      <c r="EX78" s="938"/>
      <c r="EY78" s="938"/>
      <c r="EZ78" s="938"/>
      <c r="FA78" s="938"/>
      <c r="FB78" s="938"/>
      <c r="FC78" s="938"/>
      <c r="FD78" s="938"/>
      <c r="FE78" s="938"/>
      <c r="FF78" s="938"/>
      <c r="FG78" s="938"/>
      <c r="FH78" s="938"/>
      <c r="FI78" s="938"/>
      <c r="FJ78" s="938"/>
      <c r="FK78" s="938"/>
      <c r="FL78" s="938"/>
      <c r="FM78" s="938"/>
      <c r="FN78" s="938"/>
      <c r="FO78" s="938"/>
      <c r="FP78" s="938"/>
      <c r="FQ78" s="938"/>
      <c r="FR78" s="938"/>
      <c r="FS78" s="938"/>
      <c r="FT78" s="938"/>
      <c r="FU78" s="938"/>
      <c r="FV78" s="938"/>
      <c r="FW78" s="938"/>
      <c r="FX78" s="938"/>
      <c r="FY78" s="938"/>
      <c r="FZ78" s="938"/>
      <c r="GA78" s="938"/>
      <c r="GB78" s="938"/>
      <c r="GC78" s="938"/>
      <c r="GD78" s="938"/>
      <c r="GE78" s="938"/>
      <c r="GF78" s="938"/>
      <c r="GG78" s="938"/>
      <c r="GH78" s="938"/>
      <c r="GI78" s="938"/>
      <c r="GJ78" s="938"/>
      <c r="GK78" s="938"/>
      <c r="GL78" s="938"/>
      <c r="GM78" s="938"/>
      <c r="GN78" s="938"/>
      <c r="GO78" s="938"/>
      <c r="GP78" s="938"/>
      <c r="GQ78" s="938"/>
      <c r="GR78" s="938"/>
      <c r="GS78" s="938"/>
      <c r="GT78" s="938"/>
      <c r="GU78" s="938"/>
      <c r="GV78" s="938"/>
      <c r="GW78" s="938"/>
      <c r="GX78" s="938"/>
      <c r="GY78" s="938"/>
      <c r="GZ78" s="938"/>
      <c r="HA78" s="938"/>
      <c r="HB78" s="938"/>
      <c r="HC78" s="938"/>
      <c r="HD78" s="938"/>
      <c r="HE78" s="938"/>
      <c r="HF78" s="938"/>
      <c r="HG78" s="938"/>
      <c r="HH78" s="938"/>
      <c r="HI78" s="938"/>
      <c r="HJ78" s="938"/>
      <c r="HK78" s="938"/>
      <c r="HL78" s="938"/>
      <c r="HM78" s="938"/>
      <c r="HN78" s="938"/>
      <c r="HO78" s="938"/>
      <c r="HP78" s="938"/>
      <c r="HQ78" s="938"/>
      <c r="HR78" s="938"/>
    </row>
    <row r="79" spans="1:226" s="939" customFormat="1" ht="15" hidden="1" customHeight="1">
      <c r="A79" s="1499"/>
      <c r="B79" s="1500"/>
      <c r="C79" s="1502"/>
      <c r="D79" s="1502"/>
      <c r="E79" s="963" t="s">
        <v>315</v>
      </c>
      <c r="F79" s="964">
        <f t="shared" si="3"/>
        <v>0</v>
      </c>
      <c r="G79" s="964"/>
      <c r="H79" s="964"/>
      <c r="I79" s="964"/>
      <c r="J79" s="946"/>
      <c r="K79" s="938"/>
    </row>
    <row r="80" spans="1:226" s="939" customFormat="1" ht="15" hidden="1" customHeight="1">
      <c r="A80" s="1499"/>
      <c r="B80" s="1500"/>
      <c r="C80" s="1502"/>
      <c r="D80" s="1502"/>
      <c r="E80" s="963" t="s">
        <v>316</v>
      </c>
      <c r="F80" s="964">
        <f t="shared" si="3"/>
        <v>0</v>
      </c>
      <c r="G80" s="964"/>
      <c r="H80" s="964"/>
      <c r="I80" s="964"/>
      <c r="J80" s="946"/>
      <c r="K80" s="938"/>
    </row>
    <row r="81" spans="1:11" s="939" customFormat="1" ht="15" customHeight="1">
      <c r="A81" s="1499"/>
      <c r="B81" s="1500"/>
      <c r="C81" s="1502"/>
      <c r="D81" s="1502"/>
      <c r="E81" s="963" t="s">
        <v>261</v>
      </c>
      <c r="F81" s="964">
        <f t="shared" si="3"/>
        <v>1150</v>
      </c>
      <c r="G81" s="964">
        <v>1150</v>
      </c>
      <c r="H81" s="964"/>
      <c r="I81" s="964"/>
      <c r="J81" s="946"/>
      <c r="K81" s="938"/>
    </row>
    <row r="82" spans="1:11" s="939" customFormat="1" ht="15" customHeight="1">
      <c r="A82" s="1499"/>
      <c r="B82" s="1500"/>
      <c r="C82" s="1502"/>
      <c r="D82" s="1502"/>
      <c r="E82" s="963" t="s">
        <v>317</v>
      </c>
      <c r="F82" s="964">
        <f t="shared" si="3"/>
        <v>3200</v>
      </c>
      <c r="G82" s="964"/>
      <c r="H82" s="964"/>
      <c r="I82" s="964">
        <v>3200</v>
      </c>
      <c r="J82" s="946"/>
      <c r="K82" s="938"/>
    </row>
    <row r="83" spans="1:11" s="939" customFormat="1" ht="15" customHeight="1">
      <c r="A83" s="1499"/>
      <c r="B83" s="1500"/>
      <c r="C83" s="1502"/>
      <c r="D83" s="1502"/>
      <c r="E83" s="963" t="s">
        <v>318</v>
      </c>
      <c r="F83" s="964">
        <f t="shared" si="3"/>
        <v>1800</v>
      </c>
      <c r="G83" s="964"/>
      <c r="H83" s="964"/>
      <c r="I83" s="964">
        <v>1800</v>
      </c>
      <c r="J83" s="946"/>
      <c r="K83" s="938"/>
    </row>
    <row r="84" spans="1:11" s="939" customFormat="1" ht="20.100000000000001" customHeight="1">
      <c r="A84" s="1499"/>
      <c r="B84" s="1500"/>
      <c r="C84" s="1502"/>
      <c r="D84" s="1502"/>
      <c r="E84" s="966" t="s">
        <v>939</v>
      </c>
      <c r="F84" s="958">
        <f>SUM(F85:F87)</f>
        <v>0</v>
      </c>
      <c r="G84" s="958">
        <f>SUM(G85:G87)</f>
        <v>0</v>
      </c>
      <c r="H84" s="958">
        <f>SUM(H85:H87)</f>
        <v>0</v>
      </c>
      <c r="I84" s="958">
        <f>SUM(I85:I87)</f>
        <v>0</v>
      </c>
      <c r="J84" s="942">
        <f>SUM(J85:J87)</f>
        <v>0</v>
      </c>
      <c r="K84" s="938"/>
    </row>
    <row r="85" spans="1:11" s="939" customFormat="1" ht="15" hidden="1" customHeight="1">
      <c r="A85" s="1010"/>
      <c r="B85" s="1011"/>
      <c r="C85" s="1012"/>
      <c r="D85" s="1012"/>
      <c r="E85" s="963" t="s">
        <v>270</v>
      </c>
      <c r="F85" s="964">
        <f>SUM(G85:J85)</f>
        <v>0</v>
      </c>
      <c r="G85" s="964"/>
      <c r="H85" s="964"/>
      <c r="I85" s="964"/>
      <c r="J85" s="946"/>
      <c r="K85" s="938"/>
    </row>
    <row r="86" spans="1:11" s="939" customFormat="1" ht="15" hidden="1" customHeight="1">
      <c r="A86" s="1010"/>
      <c r="B86" s="1011"/>
      <c r="C86" s="1012"/>
      <c r="D86" s="1012"/>
      <c r="E86" s="963" t="s">
        <v>319</v>
      </c>
      <c r="F86" s="964">
        <f>SUM(G86:J86)</f>
        <v>0</v>
      </c>
      <c r="G86" s="964"/>
      <c r="H86" s="964"/>
      <c r="I86" s="964"/>
      <c r="J86" s="946"/>
      <c r="K86" s="938"/>
    </row>
    <row r="87" spans="1:11" s="939" customFormat="1" ht="15" hidden="1" customHeight="1">
      <c r="A87" s="1010"/>
      <c r="B87" s="1011"/>
      <c r="C87" s="1012"/>
      <c r="D87" s="1012"/>
      <c r="E87" s="975">
        <v>6069</v>
      </c>
      <c r="F87" s="964">
        <f>SUM(G87:J87)</f>
        <v>0</v>
      </c>
      <c r="G87" s="964"/>
      <c r="H87" s="964"/>
      <c r="I87" s="964"/>
      <c r="J87" s="946"/>
      <c r="K87" s="938"/>
    </row>
    <row r="88" spans="1:11" s="939" customFormat="1" ht="24.95" customHeight="1">
      <c r="A88" s="1499" t="s">
        <v>948</v>
      </c>
      <c r="B88" s="1500" t="s">
        <v>1019</v>
      </c>
      <c r="C88" s="1502" t="s">
        <v>7</v>
      </c>
      <c r="D88" s="1502" t="s">
        <v>438</v>
      </c>
      <c r="E88" s="954" t="s">
        <v>937</v>
      </c>
      <c r="F88" s="955">
        <f>SUM(F89,F114)</f>
        <v>2000000</v>
      </c>
      <c r="G88" s="955">
        <f>SUM(G89,G114)</f>
        <v>0</v>
      </c>
      <c r="H88" s="955">
        <f>SUM(H89,H114)</f>
        <v>1700000</v>
      </c>
      <c r="I88" s="955">
        <f>SUM(I89,I114)</f>
        <v>300000</v>
      </c>
      <c r="J88" s="937">
        <f>SUM(J89,J114)</f>
        <v>0</v>
      </c>
      <c r="K88" s="938"/>
    </row>
    <row r="89" spans="1:11" s="939" customFormat="1" ht="24.95" customHeight="1">
      <c r="A89" s="1499"/>
      <c r="B89" s="1500"/>
      <c r="C89" s="1502"/>
      <c r="D89" s="1502"/>
      <c r="E89" s="957" t="s">
        <v>943</v>
      </c>
      <c r="F89" s="958">
        <f>SUM(F90,F99)</f>
        <v>2000000</v>
      </c>
      <c r="G89" s="958">
        <f>SUM(G90,G99)</f>
        <v>0</v>
      </c>
      <c r="H89" s="958">
        <f>SUM(H90,H99)</f>
        <v>1700000</v>
      </c>
      <c r="I89" s="958">
        <f>SUM(I90,I99)</f>
        <v>300000</v>
      </c>
      <c r="J89" s="942">
        <f>SUM(J90,J99)</f>
        <v>0</v>
      </c>
      <c r="K89" s="938"/>
    </row>
    <row r="90" spans="1:11" s="939" customFormat="1" ht="24.95" customHeight="1">
      <c r="A90" s="1499"/>
      <c r="B90" s="1500"/>
      <c r="C90" s="1502"/>
      <c r="D90" s="1502"/>
      <c r="E90" s="960" t="s">
        <v>944</v>
      </c>
      <c r="F90" s="961">
        <f>SUM(F91:F98)</f>
        <v>1269100</v>
      </c>
      <c r="G90" s="961">
        <f>SUM(G91:G98)</f>
        <v>0</v>
      </c>
      <c r="H90" s="961">
        <f>SUM(H91:H98)</f>
        <v>1078735</v>
      </c>
      <c r="I90" s="961">
        <f>SUM(I91:I98)</f>
        <v>190365</v>
      </c>
      <c r="J90" s="951">
        <f>SUM(J91:J98)</f>
        <v>0</v>
      </c>
      <c r="K90" s="938"/>
    </row>
    <row r="91" spans="1:11" s="939" customFormat="1" ht="15" customHeight="1">
      <c r="A91" s="1499"/>
      <c r="B91" s="1500"/>
      <c r="C91" s="1502"/>
      <c r="D91" s="1502"/>
      <c r="E91" s="963" t="s">
        <v>291</v>
      </c>
      <c r="F91" s="964">
        <f t="shared" ref="F91:F98" si="4">SUM(G91:J91)</f>
        <v>892653</v>
      </c>
      <c r="G91" s="964"/>
      <c r="H91" s="964">
        <v>892653</v>
      </c>
      <c r="I91" s="964"/>
      <c r="J91" s="946"/>
      <c r="K91" s="938"/>
    </row>
    <row r="92" spans="1:11" s="939" customFormat="1" ht="15" customHeight="1">
      <c r="A92" s="1499"/>
      <c r="B92" s="1500"/>
      <c r="C92" s="1502"/>
      <c r="D92" s="1502"/>
      <c r="E92" s="963" t="s">
        <v>292</v>
      </c>
      <c r="F92" s="964">
        <f t="shared" si="4"/>
        <v>157527</v>
      </c>
      <c r="G92" s="964"/>
      <c r="H92" s="964"/>
      <c r="I92" s="964">
        <v>157527</v>
      </c>
      <c r="J92" s="946"/>
      <c r="K92" s="938"/>
    </row>
    <row r="93" spans="1:11" s="939" customFormat="1" ht="15" customHeight="1">
      <c r="A93" s="1499"/>
      <c r="B93" s="1500"/>
      <c r="C93" s="1502"/>
      <c r="D93" s="1502"/>
      <c r="E93" s="963" t="s">
        <v>293</v>
      </c>
      <c r="F93" s="964">
        <f t="shared" si="4"/>
        <v>46750</v>
      </c>
      <c r="G93" s="964"/>
      <c r="H93" s="964">
        <v>46750</v>
      </c>
      <c r="I93" s="964"/>
      <c r="J93" s="946"/>
      <c r="K93" s="938"/>
    </row>
    <row r="94" spans="1:11" s="939" customFormat="1" ht="15" customHeight="1">
      <c r="A94" s="1499"/>
      <c r="B94" s="1500"/>
      <c r="C94" s="1502"/>
      <c r="D94" s="1502"/>
      <c r="E94" s="963" t="s">
        <v>294</v>
      </c>
      <c r="F94" s="964">
        <f t="shared" si="4"/>
        <v>8250</v>
      </c>
      <c r="G94" s="964"/>
      <c r="H94" s="964"/>
      <c r="I94" s="964">
        <v>8250</v>
      </c>
      <c r="J94" s="946"/>
      <c r="K94" s="938"/>
    </row>
    <row r="95" spans="1:11" s="939" customFormat="1" ht="15" customHeight="1">
      <c r="A95" s="1499"/>
      <c r="B95" s="1500"/>
      <c r="C95" s="1502"/>
      <c r="D95" s="1502"/>
      <c r="E95" s="963" t="s">
        <v>295</v>
      </c>
      <c r="F95" s="964">
        <f t="shared" si="4"/>
        <v>119340</v>
      </c>
      <c r="G95" s="964"/>
      <c r="H95" s="964">
        <v>119340</v>
      </c>
      <c r="I95" s="964"/>
      <c r="J95" s="946"/>
      <c r="K95" s="938"/>
    </row>
    <row r="96" spans="1:11" s="939" customFormat="1" ht="15" customHeight="1">
      <c r="A96" s="1499"/>
      <c r="B96" s="1500"/>
      <c r="C96" s="1502"/>
      <c r="D96" s="1502"/>
      <c r="E96" s="963" t="s">
        <v>296</v>
      </c>
      <c r="F96" s="964">
        <f t="shared" si="4"/>
        <v>21060</v>
      </c>
      <c r="G96" s="964"/>
      <c r="H96" s="964"/>
      <c r="I96" s="964">
        <v>21060</v>
      </c>
      <c r="J96" s="946"/>
      <c r="K96" s="938"/>
    </row>
    <row r="97" spans="1:226" s="939" customFormat="1" ht="15" customHeight="1">
      <c r="A97" s="1499"/>
      <c r="B97" s="1500"/>
      <c r="C97" s="1502"/>
      <c r="D97" s="1502"/>
      <c r="E97" s="963" t="s">
        <v>297</v>
      </c>
      <c r="F97" s="964">
        <f t="shared" si="4"/>
        <v>19992</v>
      </c>
      <c r="G97" s="964"/>
      <c r="H97" s="964">
        <v>19992</v>
      </c>
      <c r="I97" s="964"/>
      <c r="J97" s="946"/>
      <c r="K97" s="938"/>
    </row>
    <row r="98" spans="1:226" s="939" customFormat="1" ht="15" customHeight="1">
      <c r="A98" s="1499"/>
      <c r="B98" s="1500"/>
      <c r="C98" s="1502"/>
      <c r="D98" s="1502"/>
      <c r="E98" s="963" t="s">
        <v>298</v>
      </c>
      <c r="F98" s="964">
        <f t="shared" si="4"/>
        <v>3528</v>
      </c>
      <c r="G98" s="964"/>
      <c r="H98" s="964"/>
      <c r="I98" s="964">
        <v>3528</v>
      </c>
      <c r="J98" s="946"/>
      <c r="K98" s="938"/>
    </row>
    <row r="99" spans="1:226" s="939" customFormat="1" ht="24.95" customHeight="1">
      <c r="A99" s="1499"/>
      <c r="B99" s="1500"/>
      <c r="C99" s="1502"/>
      <c r="D99" s="1502"/>
      <c r="E99" s="960" t="s">
        <v>945</v>
      </c>
      <c r="F99" s="961">
        <f>SUM(F100:F113)</f>
        <v>730900</v>
      </c>
      <c r="G99" s="961">
        <f>SUM(G100:G113)</f>
        <v>0</v>
      </c>
      <c r="H99" s="961">
        <f>SUM(H100:H113)</f>
        <v>621265</v>
      </c>
      <c r="I99" s="961">
        <f>SUM(I100:I113)</f>
        <v>109635</v>
      </c>
      <c r="J99" s="951">
        <f>SUM(J100:J113)</f>
        <v>0</v>
      </c>
      <c r="K99" s="938"/>
    </row>
    <row r="100" spans="1:226" s="939" customFormat="1" ht="15" customHeight="1">
      <c r="A100" s="1499"/>
      <c r="B100" s="1500"/>
      <c r="C100" s="1502"/>
      <c r="D100" s="1502"/>
      <c r="E100" s="963" t="s">
        <v>301</v>
      </c>
      <c r="F100" s="964">
        <f t="shared" ref="F100:F113" si="5">SUM(G100:J100)</f>
        <v>131954</v>
      </c>
      <c r="G100" s="964"/>
      <c r="H100" s="964">
        <v>131954</v>
      </c>
      <c r="I100" s="964"/>
      <c r="J100" s="946"/>
      <c r="K100" s="938"/>
    </row>
    <row r="101" spans="1:226" s="939" customFormat="1" ht="15" customHeight="1">
      <c r="A101" s="1499"/>
      <c r="B101" s="1500"/>
      <c r="C101" s="1502"/>
      <c r="D101" s="1502"/>
      <c r="E101" s="963" t="s">
        <v>302</v>
      </c>
      <c r="F101" s="964">
        <f t="shared" si="5"/>
        <v>23286</v>
      </c>
      <c r="G101" s="964"/>
      <c r="H101" s="964"/>
      <c r="I101" s="964">
        <v>23286</v>
      </c>
      <c r="J101" s="946"/>
      <c r="K101" s="938"/>
    </row>
    <row r="102" spans="1:226" s="939" customFormat="1" ht="15" customHeight="1">
      <c r="A102" s="1499"/>
      <c r="B102" s="1500"/>
      <c r="C102" s="1502"/>
      <c r="D102" s="1502"/>
      <c r="E102" s="963" t="s">
        <v>303</v>
      </c>
      <c r="F102" s="964">
        <f t="shared" si="5"/>
        <v>366061</v>
      </c>
      <c r="G102" s="964"/>
      <c r="H102" s="964">
        <v>366061</v>
      </c>
      <c r="I102" s="964"/>
      <c r="J102" s="946"/>
      <c r="K102" s="938"/>
    </row>
    <row r="103" spans="1:226" s="939" customFormat="1" ht="15" customHeight="1">
      <c r="A103" s="1499"/>
      <c r="B103" s="1500"/>
      <c r="C103" s="1502"/>
      <c r="D103" s="1502"/>
      <c r="E103" s="963" t="s">
        <v>304</v>
      </c>
      <c r="F103" s="964">
        <f t="shared" si="5"/>
        <v>64599</v>
      </c>
      <c r="G103" s="964"/>
      <c r="H103" s="964"/>
      <c r="I103" s="964">
        <v>64599</v>
      </c>
      <c r="J103" s="946"/>
      <c r="K103" s="938"/>
    </row>
    <row r="104" spans="1:226" s="939" customFormat="1" ht="15" customHeight="1">
      <c r="A104" s="1499"/>
      <c r="B104" s="1500"/>
      <c r="C104" s="1502"/>
      <c r="D104" s="1502"/>
      <c r="E104" s="963" t="s">
        <v>305</v>
      </c>
      <c r="F104" s="964">
        <f t="shared" si="5"/>
        <v>3400</v>
      </c>
      <c r="G104" s="964"/>
      <c r="H104" s="964">
        <v>3400</v>
      </c>
      <c r="I104" s="964"/>
      <c r="J104" s="946"/>
      <c r="K104" s="938"/>
      <c r="L104" s="938"/>
      <c r="M104" s="938"/>
      <c r="N104" s="938"/>
      <c r="O104" s="938"/>
      <c r="P104" s="938"/>
      <c r="Q104" s="938"/>
      <c r="R104" s="938"/>
      <c r="S104" s="938"/>
      <c r="T104" s="938"/>
      <c r="U104" s="938"/>
      <c r="V104" s="938"/>
      <c r="W104" s="938"/>
      <c r="X104" s="938"/>
      <c r="Y104" s="938"/>
      <c r="Z104" s="938"/>
      <c r="AA104" s="938"/>
      <c r="AB104" s="938"/>
      <c r="AC104" s="938"/>
      <c r="AD104" s="938"/>
      <c r="AE104" s="938"/>
      <c r="AF104" s="938"/>
      <c r="AG104" s="938"/>
      <c r="AH104" s="938"/>
      <c r="AI104" s="938"/>
      <c r="AJ104" s="938"/>
      <c r="AK104" s="938"/>
      <c r="AL104" s="938"/>
      <c r="AM104" s="938"/>
      <c r="AN104" s="938"/>
      <c r="AO104" s="938"/>
      <c r="AP104" s="938"/>
      <c r="AQ104" s="938"/>
      <c r="AR104" s="938"/>
      <c r="AS104" s="938"/>
      <c r="AT104" s="938"/>
      <c r="AU104" s="938"/>
      <c r="AV104" s="938"/>
      <c r="AW104" s="938"/>
      <c r="AX104" s="938"/>
      <c r="AY104" s="938"/>
      <c r="AZ104" s="938"/>
      <c r="BA104" s="938"/>
      <c r="BB104" s="938"/>
      <c r="BC104" s="938"/>
      <c r="BD104" s="938"/>
      <c r="BE104" s="938"/>
      <c r="BF104" s="938"/>
      <c r="BG104" s="938"/>
      <c r="BH104" s="938"/>
      <c r="BI104" s="938"/>
      <c r="BJ104" s="938"/>
      <c r="BK104" s="938"/>
      <c r="BL104" s="938"/>
      <c r="BM104" s="938"/>
      <c r="BN104" s="938"/>
      <c r="BO104" s="938"/>
      <c r="BP104" s="938"/>
      <c r="BQ104" s="938"/>
      <c r="BR104" s="938"/>
      <c r="BS104" s="938"/>
      <c r="BT104" s="938"/>
      <c r="BU104" s="938"/>
      <c r="BV104" s="938"/>
      <c r="BW104" s="938"/>
      <c r="BX104" s="938"/>
      <c r="BY104" s="938"/>
      <c r="BZ104" s="938"/>
      <c r="CA104" s="938"/>
      <c r="CB104" s="938"/>
      <c r="CC104" s="938"/>
      <c r="CD104" s="938"/>
      <c r="CE104" s="938"/>
      <c r="CF104" s="938"/>
      <c r="CG104" s="938"/>
      <c r="CH104" s="938"/>
      <c r="CI104" s="938"/>
      <c r="CJ104" s="938"/>
      <c r="CK104" s="938"/>
      <c r="CL104" s="938"/>
      <c r="CM104" s="938"/>
      <c r="CN104" s="938"/>
      <c r="CO104" s="938"/>
      <c r="CP104" s="938"/>
      <c r="CQ104" s="938"/>
      <c r="CR104" s="938"/>
      <c r="CS104" s="938"/>
      <c r="CT104" s="938"/>
      <c r="CU104" s="938"/>
      <c r="CV104" s="938"/>
      <c r="CW104" s="938"/>
      <c r="CX104" s="938"/>
      <c r="CY104" s="938"/>
      <c r="CZ104" s="938"/>
      <c r="DA104" s="938"/>
      <c r="DB104" s="938"/>
      <c r="DC104" s="938"/>
      <c r="DD104" s="938"/>
      <c r="DE104" s="938"/>
      <c r="DF104" s="938"/>
      <c r="DG104" s="938"/>
      <c r="DH104" s="938"/>
      <c r="DI104" s="938"/>
      <c r="DJ104" s="938"/>
      <c r="DK104" s="938"/>
      <c r="DL104" s="938"/>
      <c r="DM104" s="938"/>
      <c r="DN104" s="938"/>
      <c r="DO104" s="938"/>
      <c r="DP104" s="938"/>
      <c r="DQ104" s="938"/>
      <c r="DR104" s="938"/>
      <c r="DS104" s="938"/>
      <c r="DT104" s="938"/>
      <c r="DU104" s="938"/>
      <c r="DV104" s="938"/>
      <c r="DW104" s="938"/>
      <c r="DX104" s="938"/>
      <c r="DY104" s="938"/>
      <c r="DZ104" s="938"/>
      <c r="EA104" s="938"/>
      <c r="EB104" s="938"/>
      <c r="EC104" s="938"/>
      <c r="ED104" s="938"/>
      <c r="EE104" s="938"/>
      <c r="EF104" s="938"/>
      <c r="EG104" s="938"/>
      <c r="EH104" s="938"/>
      <c r="EI104" s="938"/>
      <c r="EJ104" s="938"/>
      <c r="EK104" s="938"/>
      <c r="EL104" s="938"/>
      <c r="EM104" s="938"/>
      <c r="EN104" s="938"/>
      <c r="EO104" s="938"/>
      <c r="EP104" s="938"/>
      <c r="EQ104" s="938"/>
      <c r="ER104" s="938"/>
      <c r="ES104" s="938"/>
      <c r="ET104" s="938"/>
      <c r="EU104" s="938"/>
      <c r="EV104" s="938"/>
      <c r="EW104" s="938"/>
      <c r="EX104" s="938"/>
      <c r="EY104" s="938"/>
      <c r="EZ104" s="938"/>
      <c r="FA104" s="938"/>
      <c r="FB104" s="938"/>
      <c r="FC104" s="938"/>
      <c r="FD104" s="938"/>
      <c r="FE104" s="938"/>
      <c r="FF104" s="938"/>
      <c r="FG104" s="938"/>
      <c r="FH104" s="938"/>
      <c r="FI104" s="938"/>
      <c r="FJ104" s="938"/>
      <c r="FK104" s="938"/>
      <c r="FL104" s="938"/>
      <c r="FM104" s="938"/>
      <c r="FN104" s="938"/>
      <c r="FO104" s="938"/>
      <c r="FP104" s="938"/>
      <c r="FQ104" s="938"/>
      <c r="FR104" s="938"/>
      <c r="FS104" s="938"/>
      <c r="FT104" s="938"/>
      <c r="FU104" s="938"/>
      <c r="FV104" s="938"/>
      <c r="FW104" s="938"/>
      <c r="FX104" s="938"/>
      <c r="FY104" s="938"/>
      <c r="FZ104" s="938"/>
      <c r="GA104" s="938"/>
      <c r="GB104" s="938"/>
      <c r="GC104" s="938"/>
      <c r="GD104" s="938"/>
      <c r="GE104" s="938"/>
      <c r="GF104" s="938"/>
      <c r="GG104" s="938"/>
      <c r="GH104" s="938"/>
      <c r="GI104" s="938"/>
      <c r="GJ104" s="938"/>
      <c r="GK104" s="938"/>
      <c r="GL104" s="938"/>
      <c r="GM104" s="938"/>
      <c r="GN104" s="938"/>
      <c r="GO104" s="938"/>
      <c r="GP104" s="938"/>
      <c r="GQ104" s="938"/>
      <c r="GR104" s="938"/>
      <c r="GS104" s="938"/>
      <c r="GT104" s="938"/>
      <c r="GU104" s="938"/>
      <c r="GV104" s="938"/>
      <c r="GW104" s="938"/>
      <c r="GX104" s="938"/>
      <c r="GY104" s="938"/>
      <c r="GZ104" s="938"/>
      <c r="HA104" s="938"/>
      <c r="HB104" s="938"/>
      <c r="HC104" s="938"/>
      <c r="HD104" s="938"/>
      <c r="HE104" s="938"/>
      <c r="HF104" s="938"/>
      <c r="HG104" s="938"/>
      <c r="HH104" s="938"/>
      <c r="HI104" s="938"/>
      <c r="HJ104" s="938"/>
      <c r="HK104" s="938"/>
      <c r="HL104" s="938"/>
      <c r="HM104" s="938"/>
      <c r="HN104" s="938"/>
      <c r="HO104" s="938"/>
      <c r="HP104" s="938"/>
      <c r="HQ104" s="938"/>
      <c r="HR104" s="938"/>
    </row>
    <row r="105" spans="1:226" s="939" customFormat="1" ht="15" customHeight="1">
      <c r="A105" s="1499"/>
      <c r="B105" s="1500"/>
      <c r="C105" s="1502"/>
      <c r="D105" s="1502"/>
      <c r="E105" s="963" t="s">
        <v>306</v>
      </c>
      <c r="F105" s="964">
        <f t="shared" si="5"/>
        <v>600</v>
      </c>
      <c r="G105" s="964"/>
      <c r="H105" s="964"/>
      <c r="I105" s="964">
        <v>600</v>
      </c>
      <c r="J105" s="946"/>
      <c r="K105" s="938"/>
    </row>
    <row r="106" spans="1:226" s="939" customFormat="1" ht="15" customHeight="1">
      <c r="A106" s="1499"/>
      <c r="B106" s="1500"/>
      <c r="C106" s="1502"/>
      <c r="D106" s="1502"/>
      <c r="E106" s="963" t="s">
        <v>446</v>
      </c>
      <c r="F106" s="964">
        <f t="shared" si="5"/>
        <v>10200</v>
      </c>
      <c r="G106" s="964"/>
      <c r="H106" s="964">
        <v>10200</v>
      </c>
      <c r="I106" s="964"/>
      <c r="J106" s="946"/>
      <c r="K106" s="938"/>
    </row>
    <row r="107" spans="1:226" s="939" customFormat="1" ht="15" customHeight="1">
      <c r="A107" s="1499"/>
      <c r="B107" s="1500"/>
      <c r="C107" s="1502"/>
      <c r="D107" s="1502"/>
      <c r="E107" s="963" t="s">
        <v>447</v>
      </c>
      <c r="F107" s="964">
        <f t="shared" si="5"/>
        <v>1800</v>
      </c>
      <c r="G107" s="964"/>
      <c r="H107" s="964"/>
      <c r="I107" s="964">
        <v>1800</v>
      </c>
      <c r="J107" s="946"/>
      <c r="K107" s="938"/>
    </row>
    <row r="108" spans="1:226" s="939" customFormat="1" ht="15" customHeight="1">
      <c r="A108" s="1499"/>
      <c r="B108" s="1500"/>
      <c r="C108" s="1502"/>
      <c r="D108" s="1502"/>
      <c r="E108" s="963" t="s">
        <v>451</v>
      </c>
      <c r="F108" s="964">
        <f t="shared" si="5"/>
        <v>20400</v>
      </c>
      <c r="G108" s="964"/>
      <c r="H108" s="964">
        <v>20400</v>
      </c>
      <c r="I108" s="964"/>
      <c r="J108" s="946"/>
      <c r="K108" s="938"/>
    </row>
    <row r="109" spans="1:226" s="939" customFormat="1" ht="15" customHeight="1">
      <c r="A109" s="1499"/>
      <c r="B109" s="1500"/>
      <c r="C109" s="1502"/>
      <c r="D109" s="1502"/>
      <c r="E109" s="963" t="s">
        <v>452</v>
      </c>
      <c r="F109" s="964">
        <f t="shared" si="5"/>
        <v>3600</v>
      </c>
      <c r="G109" s="964"/>
      <c r="H109" s="964"/>
      <c r="I109" s="964">
        <v>3600</v>
      </c>
      <c r="J109" s="946"/>
      <c r="K109" s="938"/>
    </row>
    <row r="110" spans="1:226" s="939" customFormat="1" ht="15" customHeight="1">
      <c r="A110" s="1499"/>
      <c r="B110" s="1500"/>
      <c r="C110" s="1502"/>
      <c r="D110" s="1502"/>
      <c r="E110" s="963" t="s">
        <v>309</v>
      </c>
      <c r="F110" s="964">
        <f t="shared" si="5"/>
        <v>21250</v>
      </c>
      <c r="G110" s="964"/>
      <c r="H110" s="964">
        <v>21250</v>
      </c>
      <c r="I110" s="964"/>
      <c r="J110" s="946"/>
      <c r="K110" s="938"/>
    </row>
    <row r="111" spans="1:226" s="939" customFormat="1" ht="15" customHeight="1">
      <c r="A111" s="1499"/>
      <c r="B111" s="1500"/>
      <c r="C111" s="1502"/>
      <c r="D111" s="1502"/>
      <c r="E111" s="963" t="s">
        <v>310</v>
      </c>
      <c r="F111" s="964">
        <f t="shared" si="5"/>
        <v>3750</v>
      </c>
      <c r="G111" s="964"/>
      <c r="H111" s="964"/>
      <c r="I111" s="964">
        <v>3750</v>
      </c>
      <c r="J111" s="946"/>
      <c r="K111" s="938"/>
    </row>
    <row r="112" spans="1:226" s="939" customFormat="1" ht="15" customHeight="1">
      <c r="A112" s="1499"/>
      <c r="B112" s="1500"/>
      <c r="C112" s="1502"/>
      <c r="D112" s="1502"/>
      <c r="E112" s="963" t="s">
        <v>317</v>
      </c>
      <c r="F112" s="964">
        <f t="shared" si="5"/>
        <v>68000</v>
      </c>
      <c r="G112" s="964"/>
      <c r="H112" s="964">
        <v>68000</v>
      </c>
      <c r="I112" s="964"/>
      <c r="J112" s="946"/>
      <c r="K112" s="938"/>
    </row>
    <row r="113" spans="1:11" s="939" customFormat="1" ht="15" customHeight="1">
      <c r="A113" s="1499"/>
      <c r="B113" s="1500"/>
      <c r="C113" s="1502"/>
      <c r="D113" s="1502"/>
      <c r="E113" s="963" t="s">
        <v>318</v>
      </c>
      <c r="F113" s="964">
        <f t="shared" si="5"/>
        <v>12000</v>
      </c>
      <c r="G113" s="964"/>
      <c r="H113" s="964"/>
      <c r="I113" s="964">
        <v>12000</v>
      </c>
      <c r="J113" s="946"/>
      <c r="K113" s="938"/>
    </row>
    <row r="114" spans="1:11" s="939" customFormat="1" ht="24.95" customHeight="1">
      <c r="A114" s="1499"/>
      <c r="B114" s="1500"/>
      <c r="C114" s="1502"/>
      <c r="D114" s="1502"/>
      <c r="E114" s="966" t="s">
        <v>939</v>
      </c>
      <c r="F114" s="958">
        <f>SUM(F115:F117)</f>
        <v>0</v>
      </c>
      <c r="G114" s="958">
        <f>SUM(G115:G117)</f>
        <v>0</v>
      </c>
      <c r="H114" s="958">
        <f>SUM(H115:H117)</f>
        <v>0</v>
      </c>
      <c r="I114" s="958">
        <f>SUM(I115:I117)</f>
        <v>0</v>
      </c>
      <c r="J114" s="942">
        <f>SUM(J115:J117)</f>
        <v>0</v>
      </c>
      <c r="K114" s="938"/>
    </row>
    <row r="115" spans="1:11" s="939" customFormat="1" ht="15" hidden="1" customHeight="1">
      <c r="A115" s="1010"/>
      <c r="B115" s="1011"/>
      <c r="C115" s="1012"/>
      <c r="D115" s="1012"/>
      <c r="E115" s="963"/>
      <c r="F115" s="964">
        <f>SUM(G115:J115)</f>
        <v>0</v>
      </c>
      <c r="G115" s="964"/>
      <c r="H115" s="964"/>
      <c r="I115" s="964"/>
      <c r="J115" s="946"/>
      <c r="K115" s="938"/>
    </row>
    <row r="116" spans="1:11" s="939" customFormat="1" ht="15" hidden="1" customHeight="1">
      <c r="A116" s="1010"/>
      <c r="B116" s="1011"/>
      <c r="C116" s="1012"/>
      <c r="D116" s="1012"/>
      <c r="E116" s="963"/>
      <c r="F116" s="964">
        <f>SUM(G116:J116)</f>
        <v>0</v>
      </c>
      <c r="G116" s="964"/>
      <c r="H116" s="964"/>
      <c r="I116" s="964"/>
      <c r="J116" s="946"/>
      <c r="K116" s="938"/>
    </row>
    <row r="117" spans="1:11" s="939" customFormat="1" ht="15" hidden="1" customHeight="1">
      <c r="A117" s="1010"/>
      <c r="B117" s="1011"/>
      <c r="C117" s="1012"/>
      <c r="D117" s="1012"/>
      <c r="E117" s="975"/>
      <c r="F117" s="964">
        <f>SUM(G117:J117)</f>
        <v>0</v>
      </c>
      <c r="G117" s="964"/>
      <c r="H117" s="964"/>
      <c r="I117" s="964"/>
      <c r="J117" s="946"/>
      <c r="K117" s="938"/>
    </row>
    <row r="118" spans="1:11" s="939" customFormat="1" ht="24.95" customHeight="1">
      <c r="A118" s="1499" t="s">
        <v>950</v>
      </c>
      <c r="B118" s="1500" t="s">
        <v>1020</v>
      </c>
      <c r="C118" s="1502" t="s">
        <v>7</v>
      </c>
      <c r="D118" s="1502" t="s">
        <v>438</v>
      </c>
      <c r="E118" s="954" t="s">
        <v>937</v>
      </c>
      <c r="F118" s="955">
        <f>SUM(F119,F148)</f>
        <v>22947503</v>
      </c>
      <c r="G118" s="955">
        <f>SUM(G119,G148)</f>
        <v>3442126</v>
      </c>
      <c r="H118" s="955">
        <f>SUM(H119,H148)</f>
        <v>0</v>
      </c>
      <c r="I118" s="955">
        <f>SUM(I119,I148)</f>
        <v>19505377</v>
      </c>
      <c r="J118" s="937">
        <f>SUM(J119,J148)</f>
        <v>0</v>
      </c>
      <c r="K118" s="938"/>
    </row>
    <row r="119" spans="1:11" s="939" customFormat="1" ht="24.95" customHeight="1">
      <c r="A119" s="1499"/>
      <c r="B119" s="1500"/>
      <c r="C119" s="1502"/>
      <c r="D119" s="1502"/>
      <c r="E119" s="957" t="s">
        <v>943</v>
      </c>
      <c r="F119" s="958">
        <f>SUM(F120,F129)</f>
        <v>22356072</v>
      </c>
      <c r="G119" s="958">
        <f>SUM(G120,G129)</f>
        <v>3353411</v>
      </c>
      <c r="H119" s="958">
        <f>SUM(H120,H129)</f>
        <v>0</v>
      </c>
      <c r="I119" s="958">
        <f>SUM(I120,I129)</f>
        <v>19002661</v>
      </c>
      <c r="J119" s="942">
        <f>SUM(J120,J129)</f>
        <v>0</v>
      </c>
      <c r="K119" s="938"/>
    </row>
    <row r="120" spans="1:11" s="939" customFormat="1" ht="24.95" customHeight="1">
      <c r="A120" s="1499"/>
      <c r="B120" s="1500"/>
      <c r="C120" s="1502"/>
      <c r="D120" s="1502"/>
      <c r="E120" s="960" t="s">
        <v>944</v>
      </c>
      <c r="F120" s="961">
        <f>SUM(F121:F128)</f>
        <v>18178294</v>
      </c>
      <c r="G120" s="961">
        <f>SUM(G121:G128)</f>
        <v>2726744</v>
      </c>
      <c r="H120" s="961">
        <f>SUM(H121:H128)</f>
        <v>0</v>
      </c>
      <c r="I120" s="961">
        <f>SUM(I121:I128)</f>
        <v>15451550</v>
      </c>
      <c r="J120" s="951">
        <f>SUM(J121:J128)</f>
        <v>0</v>
      </c>
      <c r="K120" s="938"/>
    </row>
    <row r="121" spans="1:11" s="939" customFormat="1" ht="15" customHeight="1">
      <c r="A121" s="1499"/>
      <c r="B121" s="1500"/>
      <c r="C121" s="1502"/>
      <c r="D121" s="1502"/>
      <c r="E121" s="963" t="s">
        <v>291</v>
      </c>
      <c r="F121" s="964">
        <f t="shared" ref="F121:F128" si="6">SUM(G121:J121)</f>
        <v>10444727</v>
      </c>
      <c r="G121" s="964"/>
      <c r="H121" s="964"/>
      <c r="I121" s="964">
        <v>10444727</v>
      </c>
      <c r="J121" s="946"/>
      <c r="K121" s="938"/>
    </row>
    <row r="122" spans="1:11" s="939" customFormat="1" ht="15" customHeight="1">
      <c r="A122" s="1499"/>
      <c r="B122" s="1500"/>
      <c r="C122" s="1502"/>
      <c r="D122" s="1502"/>
      <c r="E122" s="963" t="s">
        <v>292</v>
      </c>
      <c r="F122" s="964">
        <f t="shared" si="6"/>
        <v>1843187</v>
      </c>
      <c r="G122" s="964">
        <v>1843187</v>
      </c>
      <c r="H122" s="964"/>
      <c r="I122" s="964"/>
      <c r="J122" s="946"/>
      <c r="K122" s="938"/>
    </row>
    <row r="123" spans="1:11" s="939" customFormat="1" ht="15" customHeight="1">
      <c r="A123" s="1499"/>
      <c r="B123" s="1500"/>
      <c r="C123" s="1502"/>
      <c r="D123" s="1502"/>
      <c r="E123" s="963" t="s">
        <v>295</v>
      </c>
      <c r="F123" s="964">
        <f t="shared" si="6"/>
        <v>1949581</v>
      </c>
      <c r="G123" s="964"/>
      <c r="H123" s="964"/>
      <c r="I123" s="964">
        <v>1949581</v>
      </c>
      <c r="J123" s="946"/>
      <c r="K123" s="938"/>
    </row>
    <row r="124" spans="1:11" s="939" customFormat="1" ht="15" customHeight="1">
      <c r="A124" s="1499"/>
      <c r="B124" s="1500"/>
      <c r="C124" s="1502"/>
      <c r="D124" s="1502"/>
      <c r="E124" s="963" t="s">
        <v>296</v>
      </c>
      <c r="F124" s="964">
        <f t="shared" si="6"/>
        <v>344044</v>
      </c>
      <c r="G124" s="964">
        <v>344044</v>
      </c>
      <c r="H124" s="964"/>
      <c r="I124" s="964"/>
      <c r="J124" s="946"/>
      <c r="K124" s="938"/>
    </row>
    <row r="125" spans="1:11" s="939" customFormat="1" ht="15" customHeight="1">
      <c r="A125" s="1499"/>
      <c r="B125" s="1500"/>
      <c r="C125" s="1502"/>
      <c r="D125" s="1502"/>
      <c r="E125" s="963" t="s">
        <v>297</v>
      </c>
      <c r="F125" s="964">
        <f t="shared" si="6"/>
        <v>277872</v>
      </c>
      <c r="G125" s="964"/>
      <c r="H125" s="964"/>
      <c r="I125" s="964">
        <v>277872</v>
      </c>
      <c r="J125" s="946"/>
      <c r="K125" s="938"/>
    </row>
    <row r="126" spans="1:11" s="939" customFormat="1" ht="15" customHeight="1">
      <c r="A126" s="1499"/>
      <c r="B126" s="1500"/>
      <c r="C126" s="1502"/>
      <c r="D126" s="1502"/>
      <c r="E126" s="963" t="s">
        <v>298</v>
      </c>
      <c r="F126" s="964">
        <f t="shared" si="6"/>
        <v>49036</v>
      </c>
      <c r="G126" s="964">
        <v>49036</v>
      </c>
      <c r="H126" s="964"/>
      <c r="I126" s="964"/>
      <c r="J126" s="946"/>
      <c r="K126" s="938"/>
    </row>
    <row r="127" spans="1:11" s="939" customFormat="1" ht="15" customHeight="1">
      <c r="A127" s="1499"/>
      <c r="B127" s="1500"/>
      <c r="C127" s="1502"/>
      <c r="D127" s="1502"/>
      <c r="E127" s="963" t="s">
        <v>299</v>
      </c>
      <c r="F127" s="964">
        <f t="shared" si="6"/>
        <v>2779370</v>
      </c>
      <c r="G127" s="964"/>
      <c r="H127" s="964"/>
      <c r="I127" s="964">
        <v>2779370</v>
      </c>
      <c r="J127" s="946"/>
      <c r="K127" s="938"/>
    </row>
    <row r="128" spans="1:11" s="939" customFormat="1" ht="15" customHeight="1">
      <c r="A128" s="1499"/>
      <c r="B128" s="1500"/>
      <c r="C128" s="1502"/>
      <c r="D128" s="1502"/>
      <c r="E128" s="963" t="s">
        <v>300</v>
      </c>
      <c r="F128" s="964">
        <f t="shared" si="6"/>
        <v>490477</v>
      </c>
      <c r="G128" s="964">
        <v>490477</v>
      </c>
      <c r="H128" s="964"/>
      <c r="I128" s="964"/>
      <c r="J128" s="946"/>
      <c r="K128" s="938"/>
    </row>
    <row r="129" spans="1:226" s="939" customFormat="1" ht="24.95" customHeight="1">
      <c r="A129" s="1499"/>
      <c r="B129" s="1500"/>
      <c r="C129" s="1502"/>
      <c r="D129" s="1502"/>
      <c r="E129" s="960" t="s">
        <v>945</v>
      </c>
      <c r="F129" s="961">
        <f>SUM(F130:F147)</f>
        <v>4177778</v>
      </c>
      <c r="G129" s="961">
        <f>SUM(G130:G147)</f>
        <v>626667</v>
      </c>
      <c r="H129" s="961">
        <f>SUM(H130:H147)</f>
        <v>0</v>
      </c>
      <c r="I129" s="961">
        <f>SUM(I130:I147)</f>
        <v>3551111</v>
      </c>
      <c r="J129" s="951">
        <f>SUM(J130:J147)</f>
        <v>0</v>
      </c>
      <c r="K129" s="938"/>
    </row>
    <row r="130" spans="1:226" s="939" customFormat="1" ht="15" customHeight="1">
      <c r="A130" s="1499"/>
      <c r="B130" s="1500"/>
      <c r="C130" s="1502"/>
      <c r="D130" s="1502"/>
      <c r="E130" s="963" t="s">
        <v>301</v>
      </c>
      <c r="F130" s="964">
        <f t="shared" ref="F130:F147" si="7">SUM(G130:J130)</f>
        <v>257462</v>
      </c>
      <c r="G130" s="964"/>
      <c r="H130" s="964"/>
      <c r="I130" s="964">
        <v>257462</v>
      </c>
      <c r="J130" s="946"/>
      <c r="K130" s="938"/>
    </row>
    <row r="131" spans="1:226" s="939" customFormat="1" ht="15" customHeight="1">
      <c r="A131" s="1499"/>
      <c r="B131" s="1500"/>
      <c r="C131" s="1502"/>
      <c r="D131" s="1502"/>
      <c r="E131" s="963" t="s">
        <v>302</v>
      </c>
      <c r="F131" s="964">
        <f t="shared" si="7"/>
        <v>45434</v>
      </c>
      <c r="G131" s="964">
        <v>45434</v>
      </c>
      <c r="H131" s="964"/>
      <c r="I131" s="964"/>
      <c r="J131" s="946"/>
      <c r="K131" s="938"/>
    </row>
    <row r="132" spans="1:226" s="939" customFormat="1" ht="15" customHeight="1">
      <c r="A132" s="1499"/>
      <c r="B132" s="1500"/>
      <c r="C132" s="1502"/>
      <c r="D132" s="1502"/>
      <c r="E132" s="963" t="s">
        <v>445</v>
      </c>
      <c r="F132" s="964">
        <f t="shared" si="7"/>
        <v>129270</v>
      </c>
      <c r="G132" s="964"/>
      <c r="H132" s="964"/>
      <c r="I132" s="964">
        <v>129270</v>
      </c>
      <c r="J132" s="946"/>
      <c r="K132" s="938"/>
    </row>
    <row r="133" spans="1:226" s="939" customFormat="1" ht="15" customHeight="1">
      <c r="A133" s="1499"/>
      <c r="B133" s="1500"/>
      <c r="C133" s="1502"/>
      <c r="D133" s="1502"/>
      <c r="E133" s="963" t="s">
        <v>425</v>
      </c>
      <c r="F133" s="964">
        <f t="shared" si="7"/>
        <v>22812</v>
      </c>
      <c r="G133" s="964">
        <v>22812</v>
      </c>
      <c r="H133" s="964"/>
      <c r="I133" s="964"/>
      <c r="J133" s="946"/>
      <c r="K133" s="938"/>
    </row>
    <row r="134" spans="1:226" s="939" customFormat="1" ht="15" customHeight="1">
      <c r="A134" s="1499"/>
      <c r="B134" s="1500"/>
      <c r="C134" s="1502"/>
      <c r="D134" s="1502"/>
      <c r="E134" s="963" t="s">
        <v>303</v>
      </c>
      <c r="F134" s="964">
        <f t="shared" si="7"/>
        <v>2445855</v>
      </c>
      <c r="G134" s="964"/>
      <c r="H134" s="964"/>
      <c r="I134" s="964">
        <v>2445855</v>
      </c>
      <c r="J134" s="946"/>
      <c r="K134" s="938"/>
    </row>
    <row r="135" spans="1:226" s="939" customFormat="1" ht="15" customHeight="1">
      <c r="A135" s="1499"/>
      <c r="B135" s="1500"/>
      <c r="C135" s="1502"/>
      <c r="D135" s="1502"/>
      <c r="E135" s="963" t="s">
        <v>304</v>
      </c>
      <c r="F135" s="964">
        <f t="shared" si="7"/>
        <v>431621</v>
      </c>
      <c r="G135" s="964">
        <v>431621</v>
      </c>
      <c r="H135" s="964"/>
      <c r="I135" s="964"/>
      <c r="J135" s="946"/>
      <c r="K135" s="938"/>
    </row>
    <row r="136" spans="1:226" s="939" customFormat="1" ht="15" customHeight="1">
      <c r="A136" s="1499"/>
      <c r="B136" s="1500"/>
      <c r="C136" s="1502"/>
      <c r="D136" s="1502"/>
      <c r="E136" s="963" t="s">
        <v>448</v>
      </c>
      <c r="F136" s="964">
        <f t="shared" si="7"/>
        <v>45603</v>
      </c>
      <c r="G136" s="964"/>
      <c r="H136" s="964"/>
      <c r="I136" s="964">
        <v>45603</v>
      </c>
      <c r="J136" s="946"/>
      <c r="K136" s="938"/>
      <c r="L136" s="938"/>
      <c r="M136" s="938"/>
      <c r="N136" s="938"/>
      <c r="O136" s="938"/>
      <c r="P136" s="938"/>
      <c r="Q136" s="938"/>
      <c r="R136" s="938"/>
      <c r="S136" s="938"/>
      <c r="T136" s="938"/>
      <c r="U136" s="938"/>
      <c r="V136" s="938"/>
      <c r="W136" s="938"/>
      <c r="X136" s="938"/>
      <c r="Y136" s="938"/>
      <c r="Z136" s="938"/>
      <c r="AA136" s="938"/>
      <c r="AB136" s="938"/>
      <c r="AC136" s="938"/>
      <c r="AD136" s="938"/>
      <c r="AE136" s="938"/>
      <c r="AF136" s="938"/>
      <c r="AG136" s="938"/>
      <c r="AH136" s="938"/>
      <c r="AI136" s="938"/>
      <c r="AJ136" s="938"/>
      <c r="AK136" s="938"/>
      <c r="AL136" s="938"/>
      <c r="AM136" s="938"/>
      <c r="AN136" s="938"/>
      <c r="AO136" s="938"/>
      <c r="AP136" s="938"/>
      <c r="AQ136" s="938"/>
      <c r="AR136" s="938"/>
      <c r="AS136" s="938"/>
      <c r="AT136" s="938"/>
      <c r="AU136" s="938"/>
      <c r="AV136" s="938"/>
      <c r="AW136" s="938"/>
      <c r="AX136" s="938"/>
      <c r="AY136" s="938"/>
      <c r="AZ136" s="938"/>
      <c r="BA136" s="938"/>
      <c r="BB136" s="938"/>
      <c r="BC136" s="938"/>
      <c r="BD136" s="938"/>
      <c r="BE136" s="938"/>
      <c r="BF136" s="938"/>
      <c r="BG136" s="938"/>
      <c r="BH136" s="938"/>
      <c r="BI136" s="938"/>
      <c r="BJ136" s="938"/>
      <c r="BK136" s="938"/>
      <c r="BL136" s="938"/>
      <c r="BM136" s="938"/>
      <c r="BN136" s="938"/>
      <c r="BO136" s="938"/>
      <c r="BP136" s="938"/>
      <c r="BQ136" s="938"/>
      <c r="BR136" s="938"/>
      <c r="BS136" s="938"/>
      <c r="BT136" s="938"/>
      <c r="BU136" s="938"/>
      <c r="BV136" s="938"/>
      <c r="BW136" s="938"/>
      <c r="BX136" s="938"/>
      <c r="BY136" s="938"/>
      <c r="BZ136" s="938"/>
      <c r="CA136" s="938"/>
      <c r="CB136" s="938"/>
      <c r="CC136" s="938"/>
      <c r="CD136" s="938"/>
      <c r="CE136" s="938"/>
      <c r="CF136" s="938"/>
      <c r="CG136" s="938"/>
      <c r="CH136" s="938"/>
      <c r="CI136" s="938"/>
      <c r="CJ136" s="938"/>
      <c r="CK136" s="938"/>
      <c r="CL136" s="938"/>
      <c r="CM136" s="938"/>
      <c r="CN136" s="938"/>
      <c r="CO136" s="938"/>
      <c r="CP136" s="938"/>
      <c r="CQ136" s="938"/>
      <c r="CR136" s="938"/>
      <c r="CS136" s="938"/>
      <c r="CT136" s="938"/>
      <c r="CU136" s="938"/>
      <c r="CV136" s="938"/>
      <c r="CW136" s="938"/>
      <c r="CX136" s="938"/>
      <c r="CY136" s="938"/>
      <c r="CZ136" s="938"/>
      <c r="DA136" s="938"/>
      <c r="DB136" s="938"/>
      <c r="DC136" s="938"/>
      <c r="DD136" s="938"/>
      <c r="DE136" s="938"/>
      <c r="DF136" s="938"/>
      <c r="DG136" s="938"/>
      <c r="DH136" s="938"/>
      <c r="DI136" s="938"/>
      <c r="DJ136" s="938"/>
      <c r="DK136" s="938"/>
      <c r="DL136" s="938"/>
      <c r="DM136" s="938"/>
      <c r="DN136" s="938"/>
      <c r="DO136" s="938"/>
      <c r="DP136" s="938"/>
      <c r="DQ136" s="938"/>
      <c r="DR136" s="938"/>
      <c r="DS136" s="938"/>
      <c r="DT136" s="938"/>
      <c r="DU136" s="938"/>
      <c r="DV136" s="938"/>
      <c r="DW136" s="938"/>
      <c r="DX136" s="938"/>
      <c r="DY136" s="938"/>
      <c r="DZ136" s="938"/>
      <c r="EA136" s="938"/>
      <c r="EB136" s="938"/>
      <c r="EC136" s="938"/>
      <c r="ED136" s="938"/>
      <c r="EE136" s="938"/>
      <c r="EF136" s="938"/>
      <c r="EG136" s="938"/>
      <c r="EH136" s="938"/>
      <c r="EI136" s="938"/>
      <c r="EJ136" s="938"/>
      <c r="EK136" s="938"/>
      <c r="EL136" s="938"/>
      <c r="EM136" s="938"/>
      <c r="EN136" s="938"/>
      <c r="EO136" s="938"/>
      <c r="EP136" s="938"/>
      <c r="EQ136" s="938"/>
      <c r="ER136" s="938"/>
      <c r="ES136" s="938"/>
      <c r="ET136" s="938"/>
      <c r="EU136" s="938"/>
      <c r="EV136" s="938"/>
      <c r="EW136" s="938"/>
      <c r="EX136" s="938"/>
      <c r="EY136" s="938"/>
      <c r="EZ136" s="938"/>
      <c r="FA136" s="938"/>
      <c r="FB136" s="938"/>
      <c r="FC136" s="938"/>
      <c r="FD136" s="938"/>
      <c r="FE136" s="938"/>
      <c r="FF136" s="938"/>
      <c r="FG136" s="938"/>
      <c r="FH136" s="938"/>
      <c r="FI136" s="938"/>
      <c r="FJ136" s="938"/>
      <c r="FK136" s="938"/>
      <c r="FL136" s="938"/>
      <c r="FM136" s="938"/>
      <c r="FN136" s="938"/>
      <c r="FO136" s="938"/>
      <c r="FP136" s="938"/>
      <c r="FQ136" s="938"/>
      <c r="FR136" s="938"/>
      <c r="FS136" s="938"/>
      <c r="FT136" s="938"/>
      <c r="FU136" s="938"/>
      <c r="FV136" s="938"/>
      <c r="FW136" s="938"/>
      <c r="FX136" s="938"/>
      <c r="FY136" s="938"/>
      <c r="FZ136" s="938"/>
      <c r="GA136" s="938"/>
      <c r="GB136" s="938"/>
      <c r="GC136" s="938"/>
      <c r="GD136" s="938"/>
      <c r="GE136" s="938"/>
      <c r="GF136" s="938"/>
      <c r="GG136" s="938"/>
      <c r="GH136" s="938"/>
      <c r="GI136" s="938"/>
      <c r="GJ136" s="938"/>
      <c r="GK136" s="938"/>
      <c r="GL136" s="938"/>
      <c r="GM136" s="938"/>
      <c r="GN136" s="938"/>
      <c r="GO136" s="938"/>
      <c r="GP136" s="938"/>
      <c r="GQ136" s="938"/>
      <c r="GR136" s="938"/>
      <c r="GS136" s="938"/>
      <c r="GT136" s="938"/>
      <c r="GU136" s="938"/>
      <c r="GV136" s="938"/>
      <c r="GW136" s="938"/>
      <c r="GX136" s="938"/>
      <c r="GY136" s="938"/>
      <c r="GZ136" s="938"/>
      <c r="HA136" s="938"/>
      <c r="HB136" s="938"/>
      <c r="HC136" s="938"/>
      <c r="HD136" s="938"/>
      <c r="HE136" s="938"/>
      <c r="HF136" s="938"/>
      <c r="HG136" s="938"/>
      <c r="HH136" s="938"/>
      <c r="HI136" s="938"/>
      <c r="HJ136" s="938"/>
      <c r="HK136" s="938"/>
      <c r="HL136" s="938"/>
      <c r="HM136" s="938"/>
      <c r="HN136" s="938"/>
      <c r="HO136" s="938"/>
      <c r="HP136" s="938"/>
      <c r="HQ136" s="938"/>
      <c r="HR136" s="938"/>
    </row>
    <row r="137" spans="1:226" s="939" customFormat="1" ht="15" customHeight="1">
      <c r="A137" s="1499"/>
      <c r="B137" s="1500"/>
      <c r="C137" s="1502"/>
      <c r="D137" s="1502"/>
      <c r="E137" s="963" t="s">
        <v>449</v>
      </c>
      <c r="F137" s="964">
        <f t="shared" si="7"/>
        <v>8048</v>
      </c>
      <c r="G137" s="964">
        <v>8048</v>
      </c>
      <c r="H137" s="964"/>
      <c r="I137" s="964"/>
      <c r="J137" s="946"/>
      <c r="K137" s="938"/>
    </row>
    <row r="138" spans="1:226" s="939" customFormat="1" ht="15" customHeight="1">
      <c r="A138" s="1499"/>
      <c r="B138" s="1500"/>
      <c r="C138" s="1502"/>
      <c r="D138" s="1502"/>
      <c r="E138" s="963" t="s">
        <v>450</v>
      </c>
      <c r="F138" s="964">
        <f t="shared" si="7"/>
        <v>295884</v>
      </c>
      <c r="G138" s="964"/>
      <c r="H138" s="964"/>
      <c r="I138" s="964">
        <v>295884</v>
      </c>
      <c r="J138" s="946"/>
      <c r="K138" s="938"/>
    </row>
    <row r="139" spans="1:226" s="939" customFormat="1" ht="15" customHeight="1">
      <c r="A139" s="1499"/>
      <c r="B139" s="1500"/>
      <c r="C139" s="1502"/>
      <c r="D139" s="1502"/>
      <c r="E139" s="963" t="s">
        <v>368</v>
      </c>
      <c r="F139" s="964">
        <f t="shared" si="7"/>
        <v>52215</v>
      </c>
      <c r="G139" s="964">
        <v>52215</v>
      </c>
      <c r="H139" s="964"/>
      <c r="I139" s="964"/>
      <c r="J139" s="946"/>
      <c r="K139" s="938"/>
    </row>
    <row r="140" spans="1:226" s="939" customFormat="1" ht="15" customHeight="1">
      <c r="A140" s="1499"/>
      <c r="B140" s="1500"/>
      <c r="C140" s="1502"/>
      <c r="D140" s="1502"/>
      <c r="E140" s="963" t="s">
        <v>309</v>
      </c>
      <c r="F140" s="964">
        <f t="shared" si="7"/>
        <v>93361</v>
      </c>
      <c r="G140" s="964"/>
      <c r="H140" s="964"/>
      <c r="I140" s="964">
        <v>93361</v>
      </c>
      <c r="J140" s="946"/>
      <c r="K140" s="938"/>
    </row>
    <row r="141" spans="1:226" s="939" customFormat="1" ht="15" customHeight="1">
      <c r="A141" s="1499"/>
      <c r="B141" s="1500"/>
      <c r="C141" s="1502"/>
      <c r="D141" s="1502"/>
      <c r="E141" s="963" t="s">
        <v>310</v>
      </c>
      <c r="F141" s="964">
        <f t="shared" si="7"/>
        <v>16476</v>
      </c>
      <c r="G141" s="964">
        <v>16476</v>
      </c>
      <c r="H141" s="964"/>
      <c r="I141" s="964"/>
      <c r="J141" s="946"/>
      <c r="K141" s="938"/>
    </row>
    <row r="142" spans="1:226" s="939" customFormat="1" ht="15" customHeight="1">
      <c r="A142" s="1499"/>
      <c r="B142" s="1500"/>
      <c r="C142" s="1502"/>
      <c r="D142" s="1502"/>
      <c r="E142" s="963" t="s">
        <v>313</v>
      </c>
      <c r="F142" s="964">
        <f t="shared" si="7"/>
        <v>32317</v>
      </c>
      <c r="G142" s="964"/>
      <c r="H142" s="964"/>
      <c r="I142" s="964">
        <v>32317</v>
      </c>
      <c r="J142" s="946"/>
      <c r="K142" s="938"/>
    </row>
    <row r="143" spans="1:226" s="939" customFormat="1" ht="15" customHeight="1">
      <c r="A143" s="1499"/>
      <c r="B143" s="1500"/>
      <c r="C143" s="1502"/>
      <c r="D143" s="1502"/>
      <c r="E143" s="963" t="s">
        <v>314</v>
      </c>
      <c r="F143" s="964">
        <f t="shared" si="7"/>
        <v>5703</v>
      </c>
      <c r="G143" s="964">
        <v>5703</v>
      </c>
      <c r="H143" s="964"/>
      <c r="I143" s="964"/>
      <c r="J143" s="946"/>
      <c r="K143" s="938"/>
    </row>
    <row r="144" spans="1:226" s="939" customFormat="1" ht="15" customHeight="1">
      <c r="A144" s="1499"/>
      <c r="B144" s="1500"/>
      <c r="C144" s="1502"/>
      <c r="D144" s="1502"/>
      <c r="E144" s="963" t="s">
        <v>453</v>
      </c>
      <c r="F144" s="964">
        <f t="shared" si="7"/>
        <v>7183</v>
      </c>
      <c r="G144" s="964"/>
      <c r="H144" s="964"/>
      <c r="I144" s="964">
        <v>7183</v>
      </c>
      <c r="J144" s="946"/>
      <c r="K144" s="938"/>
    </row>
    <row r="145" spans="1:11" s="939" customFormat="1" ht="15" customHeight="1">
      <c r="A145" s="1499"/>
      <c r="B145" s="1500"/>
      <c r="C145" s="1502"/>
      <c r="D145" s="1502"/>
      <c r="E145" s="963" t="s">
        <v>454</v>
      </c>
      <c r="F145" s="964">
        <f t="shared" si="7"/>
        <v>1268</v>
      </c>
      <c r="G145" s="964">
        <v>1268</v>
      </c>
      <c r="H145" s="964"/>
      <c r="I145" s="964"/>
      <c r="J145" s="946"/>
      <c r="K145" s="938"/>
    </row>
    <row r="146" spans="1:11" s="939" customFormat="1" ht="15" customHeight="1">
      <c r="A146" s="1499"/>
      <c r="B146" s="1500"/>
      <c r="C146" s="1502"/>
      <c r="D146" s="1502"/>
      <c r="E146" s="963" t="s">
        <v>317</v>
      </c>
      <c r="F146" s="964">
        <f t="shared" si="7"/>
        <v>244176</v>
      </c>
      <c r="G146" s="964"/>
      <c r="H146" s="964"/>
      <c r="I146" s="964">
        <v>244176</v>
      </c>
      <c r="J146" s="946"/>
      <c r="K146" s="938"/>
    </row>
    <row r="147" spans="1:11" s="939" customFormat="1" ht="15" customHeight="1">
      <c r="A147" s="1499"/>
      <c r="B147" s="1500"/>
      <c r="C147" s="1502"/>
      <c r="D147" s="1502"/>
      <c r="E147" s="963" t="s">
        <v>318</v>
      </c>
      <c r="F147" s="964">
        <f t="shared" si="7"/>
        <v>43090</v>
      </c>
      <c r="G147" s="964">
        <v>43090</v>
      </c>
      <c r="H147" s="964"/>
      <c r="I147" s="964"/>
      <c r="J147" s="946"/>
      <c r="K147" s="938"/>
    </row>
    <row r="148" spans="1:11" s="939" customFormat="1" ht="24.95" customHeight="1">
      <c r="A148" s="1499"/>
      <c r="B148" s="1500"/>
      <c r="C148" s="1502"/>
      <c r="D148" s="1502"/>
      <c r="E148" s="966" t="s">
        <v>939</v>
      </c>
      <c r="F148" s="958">
        <f>SUM(F149:F151)</f>
        <v>591431</v>
      </c>
      <c r="G148" s="958">
        <f>SUM(G149:G151)</f>
        <v>88715</v>
      </c>
      <c r="H148" s="958">
        <f>SUM(H149:H151)</f>
        <v>0</v>
      </c>
      <c r="I148" s="958">
        <f>SUM(I149:I151)</f>
        <v>502716</v>
      </c>
      <c r="J148" s="942">
        <f>SUM(J149:J151)</f>
        <v>0</v>
      </c>
      <c r="K148" s="938"/>
    </row>
    <row r="149" spans="1:11" s="939" customFormat="1" ht="15" hidden="1" customHeight="1">
      <c r="A149" s="1499"/>
      <c r="B149" s="1500"/>
      <c r="C149" s="1502"/>
      <c r="D149" s="1502"/>
      <c r="E149" s="963"/>
      <c r="F149" s="964">
        <f>SUM(G149:J149)</f>
        <v>0</v>
      </c>
      <c r="G149" s="964"/>
      <c r="H149" s="964"/>
      <c r="I149" s="964"/>
      <c r="J149" s="946"/>
      <c r="K149" s="938"/>
    </row>
    <row r="150" spans="1:11" s="939" customFormat="1" ht="15" customHeight="1">
      <c r="A150" s="1499"/>
      <c r="B150" s="1500"/>
      <c r="C150" s="1502"/>
      <c r="D150" s="1502"/>
      <c r="E150" s="963" t="s">
        <v>319</v>
      </c>
      <c r="F150" s="964">
        <f>SUM(G150:J150)</f>
        <v>502716</v>
      </c>
      <c r="G150" s="964"/>
      <c r="H150" s="964"/>
      <c r="I150" s="964">
        <v>502716</v>
      </c>
      <c r="J150" s="946"/>
      <c r="K150" s="938"/>
    </row>
    <row r="151" spans="1:11" s="939" customFormat="1" ht="15" customHeight="1" thickBot="1">
      <c r="A151" s="1538"/>
      <c r="B151" s="1539"/>
      <c r="C151" s="1541"/>
      <c r="D151" s="1541"/>
      <c r="E151" s="1013">
        <v>6069</v>
      </c>
      <c r="F151" s="1014">
        <f>SUM(G151:J151)</f>
        <v>88715</v>
      </c>
      <c r="G151" s="1014">
        <v>88715</v>
      </c>
      <c r="H151" s="1014"/>
      <c r="I151" s="1014"/>
      <c r="J151" s="1015"/>
      <c r="K151" s="938"/>
    </row>
    <row r="152" spans="1:11" s="939" customFormat="1" ht="24.95" hidden="1" customHeight="1">
      <c r="A152" s="1508"/>
      <c r="B152" s="1510"/>
      <c r="C152" s="1512"/>
      <c r="D152" s="1514"/>
      <c r="E152" s="1016" t="s">
        <v>937</v>
      </c>
      <c r="F152" s="1017">
        <f>SUM(F153,F162)</f>
        <v>0</v>
      </c>
      <c r="G152" s="1017">
        <f>SUM(G153,G162)</f>
        <v>0</v>
      </c>
      <c r="H152" s="1017">
        <f>SUM(H153,H162)</f>
        <v>0</v>
      </c>
      <c r="I152" s="1017">
        <f>SUM(I153,I162)</f>
        <v>0</v>
      </c>
      <c r="J152" s="1018">
        <f>SUM(J153,J162)</f>
        <v>0</v>
      </c>
      <c r="K152" s="938"/>
    </row>
    <row r="153" spans="1:11" s="939" customFormat="1" ht="24.95" hidden="1" customHeight="1">
      <c r="A153" s="1499"/>
      <c r="B153" s="1500"/>
      <c r="C153" s="1501"/>
      <c r="D153" s="1502"/>
      <c r="E153" s="957" t="s">
        <v>943</v>
      </c>
      <c r="F153" s="958">
        <f>SUM(F154,F158)</f>
        <v>0</v>
      </c>
      <c r="G153" s="958">
        <f>SUM(G154,G158)</f>
        <v>0</v>
      </c>
      <c r="H153" s="958">
        <f>SUM(H154,H158)</f>
        <v>0</v>
      </c>
      <c r="I153" s="958">
        <f>SUM(I154,I158)</f>
        <v>0</v>
      </c>
      <c r="J153" s="942">
        <f>SUM(J154,J158)</f>
        <v>0</v>
      </c>
      <c r="K153" s="938"/>
    </row>
    <row r="154" spans="1:11" s="939" customFormat="1" ht="24.95" hidden="1" customHeight="1">
      <c r="A154" s="1499"/>
      <c r="B154" s="1500"/>
      <c r="C154" s="1501"/>
      <c r="D154" s="1502"/>
      <c r="E154" s="960" t="s">
        <v>944</v>
      </c>
      <c r="F154" s="961">
        <f>SUM(F155:F157)</f>
        <v>0</v>
      </c>
      <c r="G154" s="961">
        <f>SUM(G155:G157)</f>
        <v>0</v>
      </c>
      <c r="H154" s="961">
        <f>SUM(H155:H157)</f>
        <v>0</v>
      </c>
      <c r="I154" s="961">
        <f>SUM(I155:I157)</f>
        <v>0</v>
      </c>
      <c r="J154" s="951">
        <f>SUM(J155:J157)</f>
        <v>0</v>
      </c>
      <c r="K154" s="938"/>
    </row>
    <row r="155" spans="1:11" s="939" customFormat="1" ht="15" hidden="1" customHeight="1">
      <c r="A155" s="1499"/>
      <c r="B155" s="1500"/>
      <c r="C155" s="1501"/>
      <c r="D155" s="1502"/>
      <c r="E155" s="963"/>
      <c r="F155" s="964">
        <f>SUM(G155:J155)</f>
        <v>0</v>
      </c>
      <c r="G155" s="964"/>
      <c r="H155" s="964"/>
      <c r="I155" s="964"/>
      <c r="J155" s="946"/>
      <c r="K155" s="938"/>
    </row>
    <row r="156" spans="1:11" s="939" customFormat="1" ht="15" hidden="1" customHeight="1">
      <c r="A156" s="1499"/>
      <c r="B156" s="1500"/>
      <c r="C156" s="1501"/>
      <c r="D156" s="1502"/>
      <c r="E156" s="963"/>
      <c r="F156" s="964">
        <f>SUM(G156:J156)</f>
        <v>0</v>
      </c>
      <c r="G156" s="964"/>
      <c r="H156" s="964"/>
      <c r="I156" s="964"/>
      <c r="J156" s="946"/>
      <c r="K156" s="938"/>
    </row>
    <row r="157" spans="1:11" s="939" customFormat="1" ht="15" hidden="1" customHeight="1">
      <c r="A157" s="1499"/>
      <c r="B157" s="1500"/>
      <c r="C157" s="1501"/>
      <c r="D157" s="1502"/>
      <c r="E157" s="963"/>
      <c r="F157" s="964">
        <f>SUM(G157:J157)</f>
        <v>0</v>
      </c>
      <c r="G157" s="964"/>
      <c r="H157" s="964"/>
      <c r="I157" s="964"/>
      <c r="J157" s="946"/>
      <c r="K157" s="938"/>
    </row>
    <row r="158" spans="1:11" s="939" customFormat="1" ht="24.95" hidden="1" customHeight="1">
      <c r="A158" s="1499"/>
      <c r="B158" s="1500"/>
      <c r="C158" s="1501"/>
      <c r="D158" s="1502"/>
      <c r="E158" s="960" t="s">
        <v>945</v>
      </c>
      <c r="F158" s="961">
        <f>SUM(F159:F161)</f>
        <v>0</v>
      </c>
      <c r="G158" s="961">
        <f>SUM(G159:G161)</f>
        <v>0</v>
      </c>
      <c r="H158" s="961">
        <f>SUM(H159:H161)</f>
        <v>0</v>
      </c>
      <c r="I158" s="961">
        <f>SUM(I159:I161)</f>
        <v>0</v>
      </c>
      <c r="J158" s="951">
        <f>SUM(J159:J161)</f>
        <v>0</v>
      </c>
      <c r="K158" s="938"/>
    </row>
    <row r="159" spans="1:11" s="939" customFormat="1" ht="15" hidden="1" customHeight="1">
      <c r="A159" s="1499"/>
      <c r="B159" s="1500"/>
      <c r="C159" s="1501"/>
      <c r="D159" s="1502"/>
      <c r="E159" s="963"/>
      <c r="F159" s="964">
        <f>SUM(G159:J159)</f>
        <v>0</v>
      </c>
      <c r="G159" s="964"/>
      <c r="H159" s="964"/>
      <c r="I159" s="964"/>
      <c r="J159" s="946"/>
      <c r="K159" s="938"/>
    </row>
    <row r="160" spans="1:11" s="939" customFormat="1" ht="15" hidden="1" customHeight="1">
      <c r="A160" s="1499"/>
      <c r="B160" s="1500"/>
      <c r="C160" s="1501"/>
      <c r="D160" s="1502"/>
      <c r="E160" s="963"/>
      <c r="F160" s="964">
        <f>SUM(G160:J160)</f>
        <v>0</v>
      </c>
      <c r="G160" s="964"/>
      <c r="H160" s="964"/>
      <c r="I160" s="964"/>
      <c r="J160" s="946"/>
      <c r="K160" s="938"/>
    </row>
    <row r="161" spans="1:226" s="939" customFormat="1" ht="15" hidden="1" customHeight="1">
      <c r="A161" s="1499"/>
      <c r="B161" s="1500"/>
      <c r="C161" s="1501"/>
      <c r="D161" s="1502"/>
      <c r="E161" s="963"/>
      <c r="F161" s="964">
        <f>SUM(G161:J161)</f>
        <v>0</v>
      </c>
      <c r="G161" s="964"/>
      <c r="H161" s="964"/>
      <c r="I161" s="964"/>
      <c r="J161" s="946"/>
      <c r="K161" s="938"/>
    </row>
    <row r="162" spans="1:226" s="939" customFormat="1" ht="24.95" hidden="1" customHeight="1">
      <c r="A162" s="1499"/>
      <c r="B162" s="1500"/>
      <c r="C162" s="1501"/>
      <c r="D162" s="1502"/>
      <c r="E162" s="966" t="s">
        <v>939</v>
      </c>
      <c r="F162" s="958">
        <f>SUM(F163:F165)</f>
        <v>0</v>
      </c>
      <c r="G162" s="958">
        <f>SUM(G163:G165)</f>
        <v>0</v>
      </c>
      <c r="H162" s="958">
        <f>SUM(H163:H165)</f>
        <v>0</v>
      </c>
      <c r="I162" s="958">
        <f>SUM(I163:I165)</f>
        <v>0</v>
      </c>
      <c r="J162" s="942">
        <f>SUM(J163:J165)</f>
        <v>0</v>
      </c>
      <c r="K162" s="938"/>
      <c r="L162" s="938"/>
      <c r="M162" s="938"/>
      <c r="N162" s="938"/>
      <c r="O162" s="938"/>
      <c r="P162" s="938"/>
      <c r="Q162" s="938"/>
      <c r="R162" s="938"/>
      <c r="S162" s="938"/>
      <c r="T162" s="938"/>
      <c r="U162" s="938"/>
      <c r="V162" s="938"/>
      <c r="W162" s="938"/>
      <c r="X162" s="938"/>
      <c r="Y162" s="938"/>
      <c r="Z162" s="938"/>
      <c r="AA162" s="938"/>
      <c r="AB162" s="938"/>
      <c r="AC162" s="938"/>
      <c r="AD162" s="938"/>
      <c r="AE162" s="938"/>
      <c r="AF162" s="938"/>
      <c r="AG162" s="938"/>
      <c r="AH162" s="938"/>
      <c r="AI162" s="938"/>
      <c r="AJ162" s="938"/>
      <c r="AK162" s="938"/>
      <c r="AL162" s="938"/>
      <c r="AM162" s="938"/>
      <c r="AN162" s="938"/>
      <c r="AO162" s="938"/>
      <c r="AP162" s="938"/>
      <c r="AQ162" s="938"/>
      <c r="AR162" s="938"/>
      <c r="AS162" s="938"/>
      <c r="AT162" s="938"/>
      <c r="AU162" s="938"/>
      <c r="AV162" s="938"/>
      <c r="AW162" s="938"/>
      <c r="AX162" s="938"/>
      <c r="AY162" s="938"/>
      <c r="AZ162" s="938"/>
      <c r="BA162" s="938"/>
      <c r="BB162" s="938"/>
      <c r="BC162" s="938"/>
      <c r="BD162" s="938"/>
      <c r="BE162" s="938"/>
      <c r="BF162" s="938"/>
      <c r="BG162" s="938"/>
      <c r="BH162" s="938"/>
      <c r="BI162" s="938"/>
      <c r="BJ162" s="938"/>
      <c r="BK162" s="938"/>
      <c r="BL162" s="938"/>
      <c r="BM162" s="938"/>
      <c r="BN162" s="938"/>
      <c r="BO162" s="938"/>
      <c r="BP162" s="938"/>
      <c r="BQ162" s="938"/>
      <c r="BR162" s="938"/>
      <c r="BS162" s="938"/>
      <c r="BT162" s="938"/>
      <c r="BU162" s="938"/>
      <c r="BV162" s="938"/>
      <c r="BW162" s="938"/>
      <c r="BX162" s="938"/>
      <c r="BY162" s="938"/>
      <c r="BZ162" s="938"/>
      <c r="CA162" s="938"/>
      <c r="CB162" s="938"/>
      <c r="CC162" s="938"/>
      <c r="CD162" s="938"/>
      <c r="CE162" s="938"/>
      <c r="CF162" s="938"/>
      <c r="CG162" s="938"/>
      <c r="CH162" s="938"/>
      <c r="CI162" s="938"/>
      <c r="CJ162" s="938"/>
      <c r="CK162" s="938"/>
      <c r="CL162" s="938"/>
      <c r="CM162" s="938"/>
      <c r="CN162" s="938"/>
      <c r="CO162" s="938"/>
      <c r="CP162" s="938"/>
      <c r="CQ162" s="938"/>
      <c r="CR162" s="938"/>
      <c r="CS162" s="938"/>
      <c r="CT162" s="938"/>
      <c r="CU162" s="938"/>
      <c r="CV162" s="938"/>
      <c r="CW162" s="938"/>
      <c r="CX162" s="938"/>
      <c r="CY162" s="938"/>
      <c r="CZ162" s="938"/>
      <c r="DA162" s="938"/>
      <c r="DB162" s="938"/>
      <c r="DC162" s="938"/>
      <c r="DD162" s="938"/>
      <c r="DE162" s="938"/>
      <c r="DF162" s="938"/>
      <c r="DG162" s="938"/>
      <c r="DH162" s="938"/>
      <c r="DI162" s="938"/>
      <c r="DJ162" s="938"/>
      <c r="DK162" s="938"/>
      <c r="DL162" s="938"/>
      <c r="DM162" s="938"/>
      <c r="DN162" s="938"/>
      <c r="DO162" s="938"/>
      <c r="DP162" s="938"/>
      <c r="DQ162" s="938"/>
      <c r="DR162" s="938"/>
      <c r="DS162" s="938"/>
      <c r="DT162" s="938"/>
      <c r="DU162" s="938"/>
      <c r="DV162" s="938"/>
      <c r="DW162" s="938"/>
      <c r="DX162" s="938"/>
      <c r="DY162" s="938"/>
      <c r="DZ162" s="938"/>
      <c r="EA162" s="938"/>
      <c r="EB162" s="938"/>
      <c r="EC162" s="938"/>
      <c r="ED162" s="938"/>
      <c r="EE162" s="938"/>
      <c r="EF162" s="938"/>
      <c r="EG162" s="938"/>
      <c r="EH162" s="938"/>
      <c r="EI162" s="938"/>
      <c r="EJ162" s="938"/>
      <c r="EK162" s="938"/>
      <c r="EL162" s="938"/>
      <c r="EM162" s="938"/>
      <c r="EN162" s="938"/>
      <c r="EO162" s="938"/>
      <c r="EP162" s="938"/>
      <c r="EQ162" s="938"/>
      <c r="ER162" s="938"/>
      <c r="ES162" s="938"/>
      <c r="ET162" s="938"/>
      <c r="EU162" s="938"/>
      <c r="EV162" s="938"/>
      <c r="EW162" s="938"/>
      <c r="EX162" s="938"/>
      <c r="EY162" s="938"/>
      <c r="EZ162" s="938"/>
      <c r="FA162" s="938"/>
      <c r="FB162" s="938"/>
      <c r="FC162" s="938"/>
      <c r="FD162" s="938"/>
      <c r="FE162" s="938"/>
      <c r="FF162" s="938"/>
      <c r="FG162" s="938"/>
      <c r="FH162" s="938"/>
      <c r="FI162" s="938"/>
      <c r="FJ162" s="938"/>
      <c r="FK162" s="938"/>
      <c r="FL162" s="938"/>
      <c r="FM162" s="938"/>
      <c r="FN162" s="938"/>
      <c r="FO162" s="938"/>
      <c r="FP162" s="938"/>
      <c r="FQ162" s="938"/>
      <c r="FR162" s="938"/>
      <c r="FS162" s="938"/>
      <c r="FT162" s="938"/>
      <c r="FU162" s="938"/>
      <c r="FV162" s="938"/>
      <c r="FW162" s="938"/>
      <c r="FX162" s="938"/>
      <c r="FY162" s="938"/>
      <c r="FZ162" s="938"/>
      <c r="GA162" s="938"/>
      <c r="GB162" s="938"/>
      <c r="GC162" s="938"/>
      <c r="GD162" s="938"/>
      <c r="GE162" s="938"/>
      <c r="GF162" s="938"/>
      <c r="GG162" s="938"/>
      <c r="GH162" s="938"/>
      <c r="GI162" s="938"/>
      <c r="GJ162" s="938"/>
      <c r="GK162" s="938"/>
      <c r="GL162" s="938"/>
      <c r="GM162" s="938"/>
      <c r="GN162" s="938"/>
      <c r="GO162" s="938"/>
      <c r="GP162" s="938"/>
      <c r="GQ162" s="938"/>
      <c r="GR162" s="938"/>
      <c r="GS162" s="938"/>
      <c r="GT162" s="938"/>
      <c r="GU162" s="938"/>
      <c r="GV162" s="938"/>
      <c r="GW162" s="938"/>
      <c r="GX162" s="938"/>
      <c r="GY162" s="938"/>
      <c r="GZ162" s="938"/>
      <c r="HA162" s="938"/>
      <c r="HB162" s="938"/>
      <c r="HC162" s="938"/>
      <c r="HD162" s="938"/>
      <c r="HE162" s="938"/>
      <c r="HF162" s="938"/>
      <c r="HG162" s="938"/>
      <c r="HH162" s="938"/>
      <c r="HI162" s="938"/>
      <c r="HJ162" s="938"/>
      <c r="HK162" s="938"/>
      <c r="HL162" s="938"/>
      <c r="HM162" s="938"/>
      <c r="HN162" s="938"/>
      <c r="HO162" s="938"/>
      <c r="HP162" s="938"/>
      <c r="HQ162" s="938"/>
      <c r="HR162" s="938"/>
    </row>
    <row r="163" spans="1:226" s="939" customFormat="1" ht="15" hidden="1" customHeight="1">
      <c r="A163" s="1499"/>
      <c r="B163" s="1500"/>
      <c r="C163" s="1501"/>
      <c r="D163" s="1502"/>
      <c r="E163" s="963"/>
      <c r="F163" s="964">
        <f>SUM(G163:J163)</f>
        <v>0</v>
      </c>
      <c r="G163" s="964"/>
      <c r="H163" s="964"/>
      <c r="I163" s="964"/>
      <c r="J163" s="946"/>
      <c r="K163" s="938"/>
    </row>
    <row r="164" spans="1:226" s="939" customFormat="1" ht="15" hidden="1" customHeight="1">
      <c r="A164" s="1499"/>
      <c r="B164" s="1500"/>
      <c r="C164" s="1501"/>
      <c r="D164" s="1502"/>
      <c r="E164" s="963"/>
      <c r="F164" s="964">
        <f>SUM(G164:J164)</f>
        <v>0</v>
      </c>
      <c r="G164" s="964"/>
      <c r="H164" s="964"/>
      <c r="I164" s="964"/>
      <c r="J164" s="946"/>
      <c r="K164" s="938"/>
    </row>
    <row r="165" spans="1:226" s="939" customFormat="1" ht="15" hidden="1" customHeight="1" thickBot="1">
      <c r="A165" s="1499"/>
      <c r="B165" s="1500"/>
      <c r="C165" s="1501"/>
      <c r="D165" s="1502"/>
      <c r="E165" s="975"/>
      <c r="F165" s="964">
        <f>SUM(G165:J165)</f>
        <v>0</v>
      </c>
      <c r="G165" s="964"/>
      <c r="H165" s="964"/>
      <c r="I165" s="964"/>
      <c r="J165" s="946"/>
      <c r="K165" s="938"/>
    </row>
    <row r="166" spans="1:226" s="939" customFormat="1" ht="24.95" hidden="1" customHeight="1">
      <c r="A166" s="1019"/>
      <c r="B166" s="1542" t="s">
        <v>983</v>
      </c>
      <c r="C166" s="1542"/>
      <c r="D166" s="1542"/>
      <c r="E166" s="1542"/>
      <c r="F166" s="1020">
        <f>F168+F182+F196</f>
        <v>0</v>
      </c>
      <c r="G166" s="1020">
        <f t="shared" ref="G166:J166" si="8">G168+G182+G196</f>
        <v>0</v>
      </c>
      <c r="H166" s="1020">
        <f t="shared" si="8"/>
        <v>0</v>
      </c>
      <c r="I166" s="1020">
        <f t="shared" si="8"/>
        <v>0</v>
      </c>
      <c r="J166" s="1021">
        <f t="shared" si="8"/>
        <v>0</v>
      </c>
      <c r="K166" s="938"/>
      <c r="L166" s="938"/>
      <c r="M166" s="938"/>
      <c r="N166" s="938"/>
      <c r="O166" s="938"/>
      <c r="P166" s="938"/>
      <c r="Q166" s="938"/>
      <c r="R166" s="938"/>
      <c r="S166" s="938"/>
      <c r="T166" s="938"/>
      <c r="U166" s="938"/>
      <c r="V166" s="938"/>
      <c r="W166" s="938"/>
      <c r="X166" s="938"/>
      <c r="Y166" s="938"/>
      <c r="Z166" s="938"/>
      <c r="AA166" s="938"/>
      <c r="AB166" s="938"/>
      <c r="AC166" s="938"/>
      <c r="AD166" s="938"/>
      <c r="AE166" s="938"/>
      <c r="AF166" s="938"/>
      <c r="AG166" s="938"/>
      <c r="AH166" s="938"/>
      <c r="AI166" s="938"/>
      <c r="AJ166" s="938"/>
      <c r="AK166" s="938"/>
      <c r="AL166" s="938"/>
      <c r="AM166" s="938"/>
      <c r="AN166" s="938"/>
      <c r="AO166" s="938"/>
      <c r="AP166" s="938"/>
      <c r="AQ166" s="938"/>
      <c r="AR166" s="938"/>
      <c r="AS166" s="938"/>
      <c r="AT166" s="938"/>
      <c r="AU166" s="938"/>
      <c r="AV166" s="938"/>
      <c r="AW166" s="938"/>
      <c r="AX166" s="938"/>
      <c r="AY166" s="938"/>
      <c r="AZ166" s="938"/>
      <c r="BA166" s="938"/>
      <c r="BB166" s="938"/>
      <c r="BC166" s="938"/>
      <c r="BD166" s="938"/>
      <c r="BE166" s="938"/>
      <c r="BF166" s="938"/>
      <c r="BG166" s="938"/>
      <c r="BH166" s="938"/>
      <c r="BI166" s="938"/>
      <c r="BJ166" s="938"/>
      <c r="BK166" s="938"/>
      <c r="BL166" s="938"/>
      <c r="BM166" s="938"/>
      <c r="BN166" s="938"/>
      <c r="BO166" s="938"/>
      <c r="BP166" s="938"/>
      <c r="BQ166" s="938"/>
      <c r="BR166" s="938"/>
      <c r="BS166" s="938"/>
      <c r="BT166" s="938"/>
      <c r="BU166" s="938"/>
      <c r="BV166" s="938"/>
      <c r="BW166" s="938"/>
      <c r="BX166" s="938"/>
      <c r="BY166" s="938"/>
      <c r="BZ166" s="938"/>
      <c r="CA166" s="938"/>
      <c r="CB166" s="938"/>
      <c r="CC166" s="938"/>
      <c r="CD166" s="938"/>
      <c r="CE166" s="938"/>
      <c r="CF166" s="938"/>
      <c r="CG166" s="938"/>
      <c r="CH166" s="938"/>
      <c r="CI166" s="938"/>
      <c r="CJ166" s="938"/>
      <c r="CK166" s="938"/>
      <c r="CL166" s="938"/>
      <c r="CM166" s="938"/>
      <c r="CN166" s="938"/>
      <c r="CO166" s="938"/>
      <c r="CP166" s="938"/>
      <c r="CQ166" s="938"/>
      <c r="CR166" s="938"/>
      <c r="CS166" s="938"/>
      <c r="CT166" s="938"/>
      <c r="CU166" s="938"/>
      <c r="CV166" s="938"/>
      <c r="CW166" s="938"/>
      <c r="CX166" s="938"/>
      <c r="CY166" s="938"/>
      <c r="CZ166" s="938"/>
      <c r="DA166" s="938"/>
      <c r="DB166" s="938"/>
      <c r="DC166" s="938"/>
      <c r="DD166" s="938"/>
      <c r="DE166" s="938"/>
      <c r="DF166" s="938"/>
      <c r="DG166" s="938"/>
      <c r="DH166" s="938"/>
      <c r="DI166" s="938"/>
      <c r="DJ166" s="938"/>
      <c r="DK166" s="938"/>
      <c r="DL166" s="938"/>
      <c r="DM166" s="938"/>
      <c r="DN166" s="938"/>
      <c r="DO166" s="938"/>
      <c r="DP166" s="938"/>
      <c r="DQ166" s="938"/>
      <c r="DR166" s="938"/>
      <c r="DS166" s="938"/>
      <c r="DT166" s="938"/>
      <c r="DU166" s="938"/>
      <c r="DV166" s="938"/>
      <c r="DW166" s="938"/>
      <c r="DX166" s="938"/>
      <c r="DY166" s="938"/>
      <c r="DZ166" s="938"/>
      <c r="EA166" s="938"/>
      <c r="EB166" s="938"/>
      <c r="EC166" s="938"/>
      <c r="ED166" s="938"/>
      <c r="EE166" s="938"/>
      <c r="EF166" s="938"/>
      <c r="EG166" s="938"/>
      <c r="EH166" s="938"/>
      <c r="EI166" s="938"/>
      <c r="EJ166" s="938"/>
      <c r="EK166" s="938"/>
      <c r="EL166" s="938"/>
      <c r="EM166" s="938"/>
      <c r="EN166" s="938"/>
      <c r="EO166" s="938"/>
      <c r="EP166" s="938"/>
      <c r="EQ166" s="938"/>
      <c r="ER166" s="938"/>
      <c r="ES166" s="938"/>
      <c r="ET166" s="938"/>
      <c r="EU166" s="938"/>
      <c r="EV166" s="938"/>
      <c r="EW166" s="938"/>
      <c r="EX166" s="938"/>
      <c r="EY166" s="938"/>
      <c r="EZ166" s="938"/>
      <c r="FA166" s="938"/>
      <c r="FB166" s="938"/>
      <c r="FC166" s="938"/>
      <c r="FD166" s="938"/>
      <c r="FE166" s="938"/>
      <c r="FF166" s="938"/>
      <c r="FG166" s="938"/>
      <c r="FH166" s="938"/>
      <c r="FI166" s="938"/>
      <c r="FJ166" s="938"/>
      <c r="FK166" s="938"/>
      <c r="FL166" s="938"/>
      <c r="FM166" s="938"/>
      <c r="FN166" s="938"/>
      <c r="FO166" s="938"/>
      <c r="FP166" s="938"/>
      <c r="FQ166" s="938"/>
      <c r="FR166" s="938"/>
      <c r="FS166" s="938"/>
      <c r="FT166" s="938"/>
      <c r="FU166" s="938"/>
      <c r="FV166" s="938"/>
      <c r="FW166" s="938"/>
      <c r="FX166" s="938"/>
      <c r="FY166" s="938"/>
      <c r="FZ166" s="938"/>
      <c r="GA166" s="938"/>
      <c r="GB166" s="938"/>
      <c r="GC166" s="938"/>
      <c r="GD166" s="938"/>
      <c r="GE166" s="938"/>
      <c r="GF166" s="938"/>
      <c r="GG166" s="938"/>
      <c r="GH166" s="938"/>
      <c r="GI166" s="938"/>
      <c r="GJ166" s="938"/>
      <c r="GK166" s="938"/>
      <c r="GL166" s="938"/>
      <c r="GM166" s="938"/>
      <c r="GN166" s="938"/>
      <c r="GO166" s="938"/>
      <c r="GP166" s="938"/>
      <c r="GQ166" s="938"/>
      <c r="GR166" s="938"/>
      <c r="GS166" s="938"/>
      <c r="GT166" s="938"/>
      <c r="GU166" s="938"/>
      <c r="GV166" s="938"/>
      <c r="GW166" s="938"/>
      <c r="GX166" s="938"/>
      <c r="GY166" s="938"/>
      <c r="GZ166" s="938"/>
      <c r="HA166" s="938"/>
      <c r="HB166" s="938"/>
      <c r="HC166" s="938"/>
      <c r="HD166" s="938"/>
      <c r="HE166" s="938"/>
      <c r="HF166" s="938"/>
      <c r="HG166" s="938"/>
      <c r="HH166" s="938"/>
      <c r="HI166" s="938"/>
      <c r="HJ166" s="938"/>
      <c r="HK166" s="938"/>
      <c r="HL166" s="938"/>
      <c r="HM166" s="938"/>
      <c r="HN166" s="938"/>
      <c r="HO166" s="938"/>
      <c r="HP166" s="938"/>
      <c r="HQ166" s="938"/>
      <c r="HR166" s="938"/>
    </row>
    <row r="167" spans="1:226" s="939" customFormat="1" ht="15" hidden="1" customHeight="1">
      <c r="A167" s="1543"/>
      <c r="B167" s="1544"/>
      <c r="C167" s="1544"/>
      <c r="D167" s="1544"/>
      <c r="E167" s="1544"/>
      <c r="F167" s="1544"/>
      <c r="G167" s="1544"/>
      <c r="H167" s="1544"/>
      <c r="I167" s="1544"/>
      <c r="J167" s="1545"/>
      <c r="K167" s="938"/>
    </row>
    <row r="168" spans="1:226" s="939" customFormat="1" ht="24.95" hidden="1" customHeight="1">
      <c r="A168" s="1503"/>
      <c r="B168" s="1504"/>
      <c r="C168" s="1505">
        <v>600</v>
      </c>
      <c r="D168" s="1506" t="s">
        <v>377</v>
      </c>
      <c r="E168" s="954" t="s">
        <v>937</v>
      </c>
      <c r="F168" s="955">
        <f>SUM(F169,F176)</f>
        <v>0</v>
      </c>
      <c r="G168" s="955">
        <f>SUM(G169,G176)</f>
        <v>0</v>
      </c>
      <c r="H168" s="955">
        <f>SUM(H169,H176)</f>
        <v>0</v>
      </c>
      <c r="I168" s="955">
        <f>SUM(I169,I176)</f>
        <v>0</v>
      </c>
      <c r="J168" s="937">
        <f>SUM(J169,J176)</f>
        <v>0</v>
      </c>
      <c r="K168" s="938"/>
    </row>
    <row r="169" spans="1:226" s="939" customFormat="1" ht="24.95" hidden="1" customHeight="1">
      <c r="A169" s="1507"/>
      <c r="B169" s="1509"/>
      <c r="C169" s="1511"/>
      <c r="D169" s="1513"/>
      <c r="E169" s="957" t="s">
        <v>440</v>
      </c>
      <c r="F169" s="958">
        <f>SUM(F170,F173)</f>
        <v>0</v>
      </c>
      <c r="G169" s="958">
        <f>SUM(G170,G173)</f>
        <v>0</v>
      </c>
      <c r="H169" s="958">
        <f>SUM(H170,H173)</f>
        <v>0</v>
      </c>
      <c r="I169" s="958">
        <f>SUM(I170,I173)</f>
        <v>0</v>
      </c>
      <c r="J169" s="942">
        <f>SUM(J170,J173)</f>
        <v>0</v>
      </c>
      <c r="K169" s="938"/>
    </row>
    <row r="170" spans="1:226" s="939" customFormat="1" ht="24.95" hidden="1" customHeight="1">
      <c r="A170" s="1507"/>
      <c r="B170" s="1509"/>
      <c r="C170" s="1511"/>
      <c r="D170" s="1513"/>
      <c r="E170" s="960" t="s">
        <v>944</v>
      </c>
      <c r="F170" s="961">
        <f>SUM(F171:F172)</f>
        <v>0</v>
      </c>
      <c r="G170" s="961">
        <f>SUM(G171:G172)</f>
        <v>0</v>
      </c>
      <c r="H170" s="961">
        <f>SUM(H171:H172)</f>
        <v>0</v>
      </c>
      <c r="I170" s="961">
        <f>SUM(I171:I172)</f>
        <v>0</v>
      </c>
      <c r="J170" s="951">
        <f>SUM(J171:J172)</f>
        <v>0</v>
      </c>
      <c r="K170" s="938"/>
    </row>
    <row r="171" spans="1:226" s="939" customFormat="1" ht="15" hidden="1" customHeight="1">
      <c r="A171" s="1507"/>
      <c r="B171" s="1509"/>
      <c r="C171" s="1511"/>
      <c r="D171" s="1513"/>
      <c r="E171" s="963"/>
      <c r="F171" s="964">
        <f>SUM(G171:J171)</f>
        <v>0</v>
      </c>
      <c r="G171" s="964"/>
      <c r="H171" s="964"/>
      <c r="I171" s="964"/>
      <c r="J171" s="946"/>
      <c r="K171" s="938"/>
    </row>
    <row r="172" spans="1:226" s="939" customFormat="1" ht="15" hidden="1" customHeight="1">
      <c r="A172" s="1507"/>
      <c r="B172" s="1509"/>
      <c r="C172" s="1511"/>
      <c r="D172" s="1513"/>
      <c r="E172" s="963"/>
      <c r="F172" s="964">
        <f>SUM(G172:J172)</f>
        <v>0</v>
      </c>
      <c r="G172" s="964"/>
      <c r="H172" s="964"/>
      <c r="I172" s="964"/>
      <c r="J172" s="946"/>
      <c r="K172" s="938"/>
    </row>
    <row r="173" spans="1:226" s="939" customFormat="1" ht="24.95" hidden="1" customHeight="1">
      <c r="A173" s="1507"/>
      <c r="B173" s="1509"/>
      <c r="C173" s="1511"/>
      <c r="D173" s="1513"/>
      <c r="E173" s="960" t="s">
        <v>945</v>
      </c>
      <c r="F173" s="961">
        <f>SUM(F174:F175)</f>
        <v>0</v>
      </c>
      <c r="G173" s="961">
        <f>SUM(G174:G175)</f>
        <v>0</v>
      </c>
      <c r="H173" s="961">
        <f>SUM(H174:H175)</f>
        <v>0</v>
      </c>
      <c r="I173" s="961">
        <f>SUM(I174:I175)</f>
        <v>0</v>
      </c>
      <c r="J173" s="951">
        <f>SUM(J174:J175)</f>
        <v>0</v>
      </c>
      <c r="K173" s="938"/>
    </row>
    <row r="174" spans="1:226" s="939" customFormat="1" ht="15" hidden="1" customHeight="1">
      <c r="A174" s="1507"/>
      <c r="B174" s="1509"/>
      <c r="C174" s="1511"/>
      <c r="D174" s="1513"/>
      <c r="E174" s="963"/>
      <c r="F174" s="964">
        <f>SUM(G174:J174)</f>
        <v>0</v>
      </c>
      <c r="G174" s="964"/>
      <c r="H174" s="964"/>
      <c r="I174" s="964"/>
      <c r="J174" s="946"/>
      <c r="K174" s="938"/>
    </row>
    <row r="175" spans="1:226" s="939" customFormat="1" ht="15" hidden="1" customHeight="1">
      <c r="A175" s="1507"/>
      <c r="B175" s="1509"/>
      <c r="C175" s="1511"/>
      <c r="D175" s="1513"/>
      <c r="E175" s="963"/>
      <c r="F175" s="964">
        <f>SUM(G175:J175)</f>
        <v>0</v>
      </c>
      <c r="G175" s="964"/>
      <c r="H175" s="964"/>
      <c r="I175" s="964"/>
      <c r="J175" s="946"/>
      <c r="K175" s="938"/>
    </row>
    <row r="176" spans="1:226" s="939" customFormat="1" ht="24.95" hidden="1" customHeight="1">
      <c r="A176" s="1507"/>
      <c r="B176" s="1509"/>
      <c r="C176" s="1511"/>
      <c r="D176" s="1513"/>
      <c r="E176" s="966" t="s">
        <v>939</v>
      </c>
      <c r="F176" s="958">
        <f>SUM(F177:F181)</f>
        <v>0</v>
      </c>
      <c r="G176" s="958">
        <f>SUM(G177:G181)</f>
        <v>0</v>
      </c>
      <c r="H176" s="958">
        <f>SUM(H177:H181)</f>
        <v>0</v>
      </c>
      <c r="I176" s="958">
        <f>SUM(I177:I181)</f>
        <v>0</v>
      </c>
      <c r="J176" s="942">
        <f>SUM(J177:J181)</f>
        <v>0</v>
      </c>
      <c r="K176" s="938"/>
    </row>
    <row r="177" spans="1:226" s="938" customFormat="1" ht="15" hidden="1" customHeight="1">
      <c r="A177" s="1507"/>
      <c r="B177" s="1509"/>
      <c r="C177" s="1511"/>
      <c r="D177" s="1513"/>
      <c r="E177" s="963" t="s">
        <v>268</v>
      </c>
      <c r="F177" s="964">
        <f>SUM(G177:J177)</f>
        <v>0</v>
      </c>
      <c r="G177" s="964"/>
      <c r="H177" s="964"/>
      <c r="I177" s="964"/>
      <c r="J177" s="946"/>
    </row>
    <row r="178" spans="1:226" s="939" customFormat="1" ht="15" hidden="1" customHeight="1">
      <c r="A178" s="1507"/>
      <c r="B178" s="1509"/>
      <c r="C178" s="1511"/>
      <c r="D178" s="1513"/>
      <c r="E178" s="963" t="s">
        <v>282</v>
      </c>
      <c r="F178" s="964">
        <f>SUM(G178:J178)</f>
        <v>0</v>
      </c>
      <c r="G178" s="964"/>
      <c r="H178" s="964"/>
      <c r="I178" s="964"/>
      <c r="J178" s="946"/>
      <c r="K178" s="938"/>
      <c r="L178" s="938"/>
      <c r="M178" s="938"/>
      <c r="N178" s="938"/>
      <c r="O178" s="938"/>
      <c r="P178" s="938"/>
      <c r="Q178" s="938"/>
      <c r="R178" s="938"/>
      <c r="S178" s="938"/>
      <c r="T178" s="938"/>
      <c r="U178" s="938"/>
      <c r="V178" s="938"/>
      <c r="W178" s="938"/>
      <c r="X178" s="938"/>
      <c r="Y178" s="938"/>
      <c r="Z178" s="938"/>
      <c r="AA178" s="938"/>
      <c r="AB178" s="938"/>
      <c r="AC178" s="938"/>
      <c r="AD178" s="938"/>
      <c r="AE178" s="938"/>
      <c r="AF178" s="938"/>
      <c r="AG178" s="938"/>
      <c r="AH178" s="938"/>
      <c r="AI178" s="938"/>
      <c r="AJ178" s="938"/>
      <c r="AK178" s="938"/>
      <c r="AL178" s="938"/>
      <c r="AM178" s="938"/>
      <c r="AN178" s="938"/>
      <c r="AO178" s="938"/>
      <c r="AP178" s="938"/>
      <c r="AQ178" s="938"/>
      <c r="AR178" s="938"/>
      <c r="AS178" s="938"/>
      <c r="AT178" s="938"/>
      <c r="AU178" s="938"/>
      <c r="AV178" s="938"/>
      <c r="AW178" s="938"/>
      <c r="AX178" s="938"/>
      <c r="AY178" s="938"/>
      <c r="AZ178" s="938"/>
      <c r="BA178" s="938"/>
      <c r="BB178" s="938"/>
      <c r="BC178" s="938"/>
      <c r="BD178" s="938"/>
      <c r="BE178" s="938"/>
      <c r="BF178" s="938"/>
      <c r="BG178" s="938"/>
      <c r="BH178" s="938"/>
      <c r="BI178" s="938"/>
      <c r="BJ178" s="938"/>
      <c r="BK178" s="938"/>
      <c r="BL178" s="938"/>
      <c r="BM178" s="938"/>
      <c r="BN178" s="938"/>
      <c r="BO178" s="938"/>
      <c r="BP178" s="938"/>
      <c r="BQ178" s="938"/>
      <c r="BR178" s="938"/>
      <c r="BS178" s="938"/>
      <c r="BT178" s="938"/>
      <c r="BU178" s="938"/>
      <c r="BV178" s="938"/>
      <c r="BW178" s="938"/>
      <c r="BX178" s="938"/>
      <c r="BY178" s="938"/>
      <c r="BZ178" s="938"/>
      <c r="CA178" s="938"/>
      <c r="CB178" s="938"/>
      <c r="CC178" s="938"/>
      <c r="CD178" s="938"/>
      <c r="CE178" s="938"/>
      <c r="CF178" s="938"/>
      <c r="CG178" s="938"/>
      <c r="CH178" s="938"/>
      <c r="CI178" s="938"/>
      <c r="CJ178" s="938"/>
      <c r="CK178" s="938"/>
      <c r="CL178" s="938"/>
      <c r="CM178" s="938"/>
      <c r="CN178" s="938"/>
      <c r="CO178" s="938"/>
      <c r="CP178" s="938"/>
      <c r="CQ178" s="938"/>
      <c r="CR178" s="938"/>
      <c r="CS178" s="938"/>
      <c r="CT178" s="938"/>
      <c r="CU178" s="938"/>
      <c r="CV178" s="938"/>
      <c r="CW178" s="938"/>
      <c r="CX178" s="938"/>
      <c r="CY178" s="938"/>
      <c r="CZ178" s="938"/>
      <c r="DA178" s="938"/>
      <c r="DB178" s="938"/>
      <c r="DC178" s="938"/>
      <c r="DD178" s="938"/>
      <c r="DE178" s="938"/>
      <c r="DF178" s="938"/>
      <c r="DG178" s="938"/>
      <c r="DH178" s="938"/>
      <c r="DI178" s="938"/>
      <c r="DJ178" s="938"/>
      <c r="DK178" s="938"/>
      <c r="DL178" s="938"/>
      <c r="DM178" s="938"/>
      <c r="DN178" s="938"/>
      <c r="DO178" s="938"/>
      <c r="DP178" s="938"/>
      <c r="DQ178" s="938"/>
      <c r="DR178" s="938"/>
      <c r="DS178" s="938"/>
      <c r="DT178" s="938"/>
      <c r="DU178" s="938"/>
      <c r="DV178" s="938"/>
      <c r="DW178" s="938"/>
      <c r="DX178" s="938"/>
      <c r="DY178" s="938"/>
      <c r="DZ178" s="938"/>
      <c r="EA178" s="938"/>
      <c r="EB178" s="938"/>
      <c r="EC178" s="938"/>
      <c r="ED178" s="938"/>
      <c r="EE178" s="938"/>
      <c r="EF178" s="938"/>
      <c r="EG178" s="938"/>
      <c r="EH178" s="938"/>
      <c r="EI178" s="938"/>
      <c r="EJ178" s="938"/>
      <c r="EK178" s="938"/>
      <c r="EL178" s="938"/>
      <c r="EM178" s="938"/>
      <c r="EN178" s="938"/>
      <c r="EO178" s="938"/>
      <c r="EP178" s="938"/>
      <c r="EQ178" s="938"/>
      <c r="ER178" s="938"/>
      <c r="ES178" s="938"/>
      <c r="ET178" s="938"/>
      <c r="EU178" s="938"/>
      <c r="EV178" s="938"/>
      <c r="EW178" s="938"/>
      <c r="EX178" s="938"/>
      <c r="EY178" s="938"/>
      <c r="EZ178" s="938"/>
      <c r="FA178" s="938"/>
      <c r="FB178" s="938"/>
      <c r="FC178" s="938"/>
      <c r="FD178" s="938"/>
      <c r="FE178" s="938"/>
      <c r="FF178" s="938"/>
      <c r="FG178" s="938"/>
      <c r="FH178" s="938"/>
      <c r="FI178" s="938"/>
      <c r="FJ178" s="938"/>
      <c r="FK178" s="938"/>
      <c r="FL178" s="938"/>
      <c r="FM178" s="938"/>
      <c r="FN178" s="938"/>
      <c r="FO178" s="938"/>
      <c r="FP178" s="938"/>
      <c r="FQ178" s="938"/>
      <c r="FR178" s="938"/>
      <c r="FS178" s="938"/>
      <c r="FT178" s="938"/>
      <c r="FU178" s="938"/>
      <c r="FV178" s="938"/>
      <c r="FW178" s="938"/>
      <c r="FX178" s="938"/>
      <c r="FY178" s="938"/>
      <c r="FZ178" s="938"/>
      <c r="GA178" s="938"/>
      <c r="GB178" s="938"/>
      <c r="GC178" s="938"/>
      <c r="GD178" s="938"/>
      <c r="GE178" s="938"/>
      <c r="GF178" s="938"/>
      <c r="GG178" s="938"/>
      <c r="GH178" s="938"/>
      <c r="GI178" s="938"/>
      <c r="GJ178" s="938"/>
      <c r="GK178" s="938"/>
      <c r="GL178" s="938"/>
      <c r="GM178" s="938"/>
      <c r="GN178" s="938"/>
      <c r="GO178" s="938"/>
      <c r="GP178" s="938"/>
      <c r="GQ178" s="938"/>
      <c r="GR178" s="938"/>
      <c r="GS178" s="938"/>
      <c r="GT178" s="938"/>
      <c r="GU178" s="938"/>
      <c r="GV178" s="938"/>
      <c r="GW178" s="938"/>
      <c r="GX178" s="938"/>
      <c r="GY178" s="938"/>
      <c r="GZ178" s="938"/>
      <c r="HA178" s="938"/>
      <c r="HB178" s="938"/>
      <c r="HC178" s="938"/>
      <c r="HD178" s="938"/>
      <c r="HE178" s="938"/>
      <c r="HF178" s="938"/>
      <c r="HG178" s="938"/>
      <c r="HH178" s="938"/>
      <c r="HI178" s="938"/>
      <c r="HJ178" s="938"/>
      <c r="HK178" s="938"/>
      <c r="HL178" s="938"/>
      <c r="HM178" s="938"/>
      <c r="HN178" s="938"/>
      <c r="HO178" s="938"/>
      <c r="HP178" s="938"/>
      <c r="HQ178" s="938"/>
      <c r="HR178" s="938"/>
    </row>
    <row r="179" spans="1:226" s="939" customFormat="1" ht="15" hidden="1" customHeight="1">
      <c r="A179" s="1507"/>
      <c r="B179" s="1509"/>
      <c r="C179" s="1511"/>
      <c r="D179" s="1513"/>
      <c r="E179" s="977">
        <v>6059</v>
      </c>
      <c r="F179" s="978">
        <f>SUM(G179:J179)</f>
        <v>0</v>
      </c>
      <c r="G179" s="978"/>
      <c r="H179" s="978"/>
      <c r="I179" s="978"/>
      <c r="J179" s="979"/>
      <c r="K179" s="938"/>
    </row>
    <row r="180" spans="1:226" s="939" customFormat="1" ht="15" hidden="1" customHeight="1">
      <c r="A180" s="1507"/>
      <c r="B180" s="1509"/>
      <c r="C180" s="1511"/>
      <c r="D180" s="1513"/>
      <c r="E180" s="1022" t="s">
        <v>372</v>
      </c>
      <c r="F180" s="978">
        <f>SUM(G180:J180)</f>
        <v>0</v>
      </c>
      <c r="G180" s="978"/>
      <c r="H180" s="978"/>
      <c r="I180" s="978"/>
      <c r="J180" s="979"/>
      <c r="K180" s="938"/>
    </row>
    <row r="181" spans="1:226" s="939" customFormat="1" ht="15" hidden="1" customHeight="1">
      <c r="A181" s="1508"/>
      <c r="B181" s="1510"/>
      <c r="C181" s="1512"/>
      <c r="D181" s="1514"/>
      <c r="E181" s="975">
        <v>6069</v>
      </c>
      <c r="F181" s="978">
        <f>SUM(G181:J181)</f>
        <v>0</v>
      </c>
      <c r="G181" s="978"/>
      <c r="H181" s="978"/>
      <c r="I181" s="978"/>
      <c r="J181" s="979"/>
      <c r="K181" s="938"/>
    </row>
    <row r="182" spans="1:226" s="939" customFormat="1" ht="24.95" hidden="1" customHeight="1">
      <c r="A182" s="1499"/>
      <c r="B182" s="1500"/>
      <c r="C182" s="1501">
        <v>600</v>
      </c>
      <c r="D182" s="1502" t="s">
        <v>377</v>
      </c>
      <c r="E182" s="954" t="s">
        <v>937</v>
      </c>
      <c r="F182" s="955">
        <f>SUM(F183,F190)</f>
        <v>0</v>
      </c>
      <c r="G182" s="955">
        <f>SUM(G183,G190)</f>
        <v>0</v>
      </c>
      <c r="H182" s="955">
        <f>SUM(H183,H190)</f>
        <v>0</v>
      </c>
      <c r="I182" s="955">
        <f>SUM(I183,I190)</f>
        <v>0</v>
      </c>
      <c r="J182" s="937">
        <f>SUM(J183,J190)</f>
        <v>0</v>
      </c>
      <c r="K182" s="938"/>
    </row>
    <row r="183" spans="1:226" s="939" customFormat="1" ht="24.95" hidden="1" customHeight="1">
      <c r="A183" s="1499"/>
      <c r="B183" s="1500"/>
      <c r="C183" s="1501"/>
      <c r="D183" s="1502"/>
      <c r="E183" s="957" t="s">
        <v>440</v>
      </c>
      <c r="F183" s="958">
        <f>SUM(F184,F187)</f>
        <v>0</v>
      </c>
      <c r="G183" s="958">
        <f>SUM(G184,G187)</f>
        <v>0</v>
      </c>
      <c r="H183" s="958">
        <f>SUM(H184,H187)</f>
        <v>0</v>
      </c>
      <c r="I183" s="958">
        <f>SUM(I184,I187)</f>
        <v>0</v>
      </c>
      <c r="J183" s="942">
        <f>SUM(J184,J187)</f>
        <v>0</v>
      </c>
      <c r="K183" s="938"/>
    </row>
    <row r="184" spans="1:226" s="939" customFormat="1" ht="24.95" hidden="1" customHeight="1">
      <c r="A184" s="1499"/>
      <c r="B184" s="1500"/>
      <c r="C184" s="1501"/>
      <c r="D184" s="1502"/>
      <c r="E184" s="960" t="s">
        <v>944</v>
      </c>
      <c r="F184" s="961">
        <f>SUM(F185:F186)</f>
        <v>0</v>
      </c>
      <c r="G184" s="961">
        <f>SUM(G185:G186)</f>
        <v>0</v>
      </c>
      <c r="H184" s="961">
        <f>SUM(H185:H186)</f>
        <v>0</v>
      </c>
      <c r="I184" s="961">
        <f>SUM(I185:I186)</f>
        <v>0</v>
      </c>
      <c r="J184" s="951">
        <f>SUM(J185:J186)</f>
        <v>0</v>
      </c>
      <c r="K184" s="938"/>
    </row>
    <row r="185" spans="1:226" s="939" customFormat="1" ht="15" hidden="1" customHeight="1">
      <c r="A185" s="1499"/>
      <c r="B185" s="1500"/>
      <c r="C185" s="1501"/>
      <c r="D185" s="1502"/>
      <c r="E185" s="963"/>
      <c r="F185" s="964">
        <f>SUM(G185:J185)</f>
        <v>0</v>
      </c>
      <c r="G185" s="964"/>
      <c r="H185" s="964"/>
      <c r="I185" s="964"/>
      <c r="J185" s="946"/>
      <c r="K185" s="938"/>
    </row>
    <row r="186" spans="1:226" s="939" customFormat="1" ht="15" hidden="1" customHeight="1">
      <c r="A186" s="1499"/>
      <c r="B186" s="1500"/>
      <c r="C186" s="1501"/>
      <c r="D186" s="1502"/>
      <c r="E186" s="963"/>
      <c r="F186" s="964">
        <f>SUM(G186:J186)</f>
        <v>0</v>
      </c>
      <c r="G186" s="964"/>
      <c r="H186" s="964"/>
      <c r="I186" s="964"/>
      <c r="J186" s="946"/>
      <c r="K186" s="938"/>
      <c r="L186" s="938"/>
      <c r="M186" s="938"/>
      <c r="N186" s="938"/>
      <c r="O186" s="938"/>
      <c r="P186" s="938"/>
      <c r="Q186" s="938"/>
      <c r="R186" s="938"/>
      <c r="S186" s="938"/>
      <c r="T186" s="938"/>
      <c r="U186" s="938"/>
      <c r="V186" s="938"/>
      <c r="W186" s="938"/>
      <c r="X186" s="938"/>
      <c r="Y186" s="938"/>
      <c r="Z186" s="938"/>
      <c r="AA186" s="938"/>
      <c r="AB186" s="938"/>
      <c r="AC186" s="938"/>
      <c r="AD186" s="938"/>
      <c r="AE186" s="938"/>
      <c r="AF186" s="938"/>
      <c r="AG186" s="938"/>
      <c r="AH186" s="938"/>
      <c r="AI186" s="938"/>
      <c r="AJ186" s="938"/>
      <c r="AK186" s="938"/>
      <c r="AL186" s="938"/>
      <c r="AM186" s="938"/>
      <c r="AN186" s="938"/>
      <c r="AO186" s="938"/>
      <c r="AP186" s="938"/>
      <c r="AQ186" s="938"/>
      <c r="AR186" s="938"/>
      <c r="AS186" s="938"/>
      <c r="AT186" s="938"/>
      <c r="AU186" s="938"/>
      <c r="AV186" s="938"/>
      <c r="AW186" s="938"/>
      <c r="AX186" s="938"/>
      <c r="AY186" s="938"/>
      <c r="AZ186" s="938"/>
      <c r="BA186" s="938"/>
      <c r="BB186" s="938"/>
      <c r="BC186" s="938"/>
      <c r="BD186" s="938"/>
      <c r="BE186" s="938"/>
      <c r="BF186" s="938"/>
      <c r="BG186" s="938"/>
      <c r="BH186" s="938"/>
      <c r="BI186" s="938"/>
      <c r="BJ186" s="938"/>
      <c r="BK186" s="938"/>
      <c r="BL186" s="938"/>
      <c r="BM186" s="938"/>
      <c r="BN186" s="938"/>
      <c r="BO186" s="938"/>
      <c r="BP186" s="938"/>
      <c r="BQ186" s="938"/>
      <c r="BR186" s="938"/>
      <c r="BS186" s="938"/>
      <c r="BT186" s="938"/>
      <c r="BU186" s="938"/>
      <c r="BV186" s="938"/>
      <c r="BW186" s="938"/>
      <c r="BX186" s="938"/>
      <c r="BY186" s="938"/>
      <c r="BZ186" s="938"/>
      <c r="CA186" s="938"/>
      <c r="CB186" s="938"/>
      <c r="CC186" s="938"/>
      <c r="CD186" s="938"/>
      <c r="CE186" s="938"/>
      <c r="CF186" s="938"/>
      <c r="CG186" s="938"/>
      <c r="CH186" s="938"/>
      <c r="CI186" s="938"/>
      <c r="CJ186" s="938"/>
      <c r="CK186" s="938"/>
      <c r="CL186" s="938"/>
      <c r="CM186" s="938"/>
      <c r="CN186" s="938"/>
      <c r="CO186" s="938"/>
      <c r="CP186" s="938"/>
      <c r="CQ186" s="938"/>
      <c r="CR186" s="938"/>
      <c r="CS186" s="938"/>
      <c r="CT186" s="938"/>
      <c r="CU186" s="938"/>
      <c r="CV186" s="938"/>
      <c r="CW186" s="938"/>
      <c r="CX186" s="938"/>
      <c r="CY186" s="938"/>
      <c r="CZ186" s="938"/>
      <c r="DA186" s="938"/>
      <c r="DB186" s="938"/>
      <c r="DC186" s="938"/>
      <c r="DD186" s="938"/>
      <c r="DE186" s="938"/>
      <c r="DF186" s="938"/>
      <c r="DG186" s="938"/>
      <c r="DH186" s="938"/>
      <c r="DI186" s="938"/>
      <c r="DJ186" s="938"/>
      <c r="DK186" s="938"/>
      <c r="DL186" s="938"/>
      <c r="DM186" s="938"/>
      <c r="DN186" s="938"/>
      <c r="DO186" s="938"/>
      <c r="DP186" s="938"/>
      <c r="DQ186" s="938"/>
      <c r="DR186" s="938"/>
      <c r="DS186" s="938"/>
      <c r="DT186" s="938"/>
      <c r="DU186" s="938"/>
      <c r="DV186" s="938"/>
      <c r="DW186" s="938"/>
      <c r="DX186" s="938"/>
      <c r="DY186" s="938"/>
      <c r="DZ186" s="938"/>
      <c r="EA186" s="938"/>
      <c r="EB186" s="938"/>
      <c r="EC186" s="938"/>
      <c r="ED186" s="938"/>
      <c r="EE186" s="938"/>
      <c r="EF186" s="938"/>
      <c r="EG186" s="938"/>
      <c r="EH186" s="938"/>
      <c r="EI186" s="938"/>
      <c r="EJ186" s="938"/>
      <c r="EK186" s="938"/>
      <c r="EL186" s="938"/>
      <c r="EM186" s="938"/>
      <c r="EN186" s="938"/>
      <c r="EO186" s="938"/>
      <c r="EP186" s="938"/>
      <c r="EQ186" s="938"/>
      <c r="ER186" s="938"/>
      <c r="ES186" s="938"/>
      <c r="ET186" s="938"/>
      <c r="EU186" s="938"/>
      <c r="EV186" s="938"/>
      <c r="EW186" s="938"/>
      <c r="EX186" s="938"/>
      <c r="EY186" s="938"/>
      <c r="EZ186" s="938"/>
      <c r="FA186" s="938"/>
      <c r="FB186" s="938"/>
      <c r="FC186" s="938"/>
      <c r="FD186" s="938"/>
      <c r="FE186" s="938"/>
      <c r="FF186" s="938"/>
      <c r="FG186" s="938"/>
      <c r="FH186" s="938"/>
      <c r="FI186" s="938"/>
      <c r="FJ186" s="938"/>
      <c r="FK186" s="938"/>
      <c r="FL186" s="938"/>
      <c r="FM186" s="938"/>
      <c r="FN186" s="938"/>
      <c r="FO186" s="938"/>
      <c r="FP186" s="938"/>
      <c r="FQ186" s="938"/>
      <c r="FR186" s="938"/>
      <c r="FS186" s="938"/>
      <c r="FT186" s="938"/>
      <c r="FU186" s="938"/>
      <c r="FV186" s="938"/>
      <c r="FW186" s="938"/>
      <c r="FX186" s="938"/>
      <c r="FY186" s="938"/>
      <c r="FZ186" s="938"/>
      <c r="GA186" s="938"/>
      <c r="GB186" s="938"/>
      <c r="GC186" s="938"/>
      <c r="GD186" s="938"/>
      <c r="GE186" s="938"/>
      <c r="GF186" s="938"/>
      <c r="GG186" s="938"/>
      <c r="GH186" s="938"/>
      <c r="GI186" s="938"/>
      <c r="GJ186" s="938"/>
      <c r="GK186" s="938"/>
      <c r="GL186" s="938"/>
      <c r="GM186" s="938"/>
      <c r="GN186" s="938"/>
      <c r="GO186" s="938"/>
      <c r="GP186" s="938"/>
      <c r="GQ186" s="938"/>
      <c r="GR186" s="938"/>
      <c r="GS186" s="938"/>
      <c r="GT186" s="938"/>
      <c r="GU186" s="938"/>
      <c r="GV186" s="938"/>
      <c r="GW186" s="938"/>
      <c r="GX186" s="938"/>
      <c r="GY186" s="938"/>
      <c r="GZ186" s="938"/>
      <c r="HA186" s="938"/>
      <c r="HB186" s="938"/>
      <c r="HC186" s="938"/>
      <c r="HD186" s="938"/>
      <c r="HE186" s="938"/>
      <c r="HF186" s="938"/>
      <c r="HG186" s="938"/>
      <c r="HH186" s="938"/>
      <c r="HI186" s="938"/>
      <c r="HJ186" s="938"/>
      <c r="HK186" s="938"/>
      <c r="HL186" s="938"/>
      <c r="HM186" s="938"/>
      <c r="HN186" s="938"/>
      <c r="HO186" s="938"/>
      <c r="HP186" s="938"/>
      <c r="HQ186" s="938"/>
      <c r="HR186" s="938"/>
    </row>
    <row r="187" spans="1:226" s="939" customFormat="1" ht="24.95" hidden="1" customHeight="1">
      <c r="A187" s="1499"/>
      <c r="B187" s="1500"/>
      <c r="C187" s="1501"/>
      <c r="D187" s="1502"/>
      <c r="E187" s="960" t="s">
        <v>945</v>
      </c>
      <c r="F187" s="961">
        <f>SUM(F188:F189)</f>
        <v>0</v>
      </c>
      <c r="G187" s="961">
        <f>SUM(G188:G189)</f>
        <v>0</v>
      </c>
      <c r="H187" s="961">
        <f>SUM(H188:H189)</f>
        <v>0</v>
      </c>
      <c r="I187" s="961">
        <f>SUM(I188:I189)</f>
        <v>0</v>
      </c>
      <c r="J187" s="951">
        <f>SUM(J188:J189)</f>
        <v>0</v>
      </c>
      <c r="K187" s="938"/>
    </row>
    <row r="188" spans="1:226" s="939" customFormat="1" ht="15" hidden="1" customHeight="1">
      <c r="A188" s="1499"/>
      <c r="B188" s="1500"/>
      <c r="C188" s="1501"/>
      <c r="D188" s="1502"/>
      <c r="E188" s="963"/>
      <c r="F188" s="964">
        <f>SUM(G188:J188)</f>
        <v>0</v>
      </c>
      <c r="G188" s="964"/>
      <c r="H188" s="964"/>
      <c r="I188" s="964"/>
      <c r="J188" s="946"/>
      <c r="K188" s="938"/>
    </row>
    <row r="189" spans="1:226" s="939" customFormat="1" ht="15" hidden="1" customHeight="1">
      <c r="A189" s="1499"/>
      <c r="B189" s="1500"/>
      <c r="C189" s="1501"/>
      <c r="D189" s="1502"/>
      <c r="E189" s="963"/>
      <c r="F189" s="964">
        <f>SUM(G189:J189)</f>
        <v>0</v>
      </c>
      <c r="G189" s="964"/>
      <c r="H189" s="964"/>
      <c r="I189" s="964"/>
      <c r="J189" s="946"/>
      <c r="K189" s="938"/>
    </row>
    <row r="190" spans="1:226" s="939" customFormat="1" ht="24.95" hidden="1" customHeight="1">
      <c r="A190" s="1499"/>
      <c r="B190" s="1500"/>
      <c r="C190" s="1501"/>
      <c r="D190" s="1502"/>
      <c r="E190" s="966" t="s">
        <v>939</v>
      </c>
      <c r="F190" s="958">
        <f>SUM(F191:F195)</f>
        <v>0</v>
      </c>
      <c r="G190" s="958">
        <f>SUM(G191:G195)</f>
        <v>0</v>
      </c>
      <c r="H190" s="958">
        <f>SUM(H191:H195)</f>
        <v>0</v>
      </c>
      <c r="I190" s="958">
        <f>SUM(I191:I195)</f>
        <v>0</v>
      </c>
      <c r="J190" s="942">
        <f>SUM(J191:J195)</f>
        <v>0</v>
      </c>
      <c r="K190" s="938"/>
    </row>
    <row r="191" spans="1:226" s="939" customFormat="1" ht="15" hidden="1" customHeight="1">
      <c r="A191" s="1499"/>
      <c r="B191" s="1500"/>
      <c r="C191" s="1501"/>
      <c r="D191" s="1502"/>
      <c r="E191" s="963" t="s">
        <v>268</v>
      </c>
      <c r="F191" s="964">
        <f>SUM(G191:J191)</f>
        <v>0</v>
      </c>
      <c r="G191" s="964"/>
      <c r="H191" s="964"/>
      <c r="I191" s="964"/>
      <c r="J191" s="946"/>
      <c r="K191" s="938"/>
    </row>
    <row r="192" spans="1:226" s="939" customFormat="1" ht="15" hidden="1" customHeight="1">
      <c r="A192" s="1503"/>
      <c r="B192" s="1504"/>
      <c r="C192" s="1505"/>
      <c r="D192" s="1506"/>
      <c r="E192" s="1022" t="s">
        <v>282</v>
      </c>
      <c r="F192" s="964">
        <f>SUM(G192:J192)</f>
        <v>0</v>
      </c>
      <c r="G192" s="978"/>
      <c r="H192" s="978"/>
      <c r="I192" s="978"/>
      <c r="J192" s="979"/>
      <c r="K192" s="938"/>
    </row>
    <row r="193" spans="1:226" s="939" customFormat="1" ht="15" hidden="1" customHeight="1">
      <c r="A193" s="1503"/>
      <c r="B193" s="1504"/>
      <c r="C193" s="1505"/>
      <c r="D193" s="1506"/>
      <c r="E193" s="1022" t="s">
        <v>283</v>
      </c>
      <c r="F193" s="964">
        <f>SUM(G193:J193)</f>
        <v>0</v>
      </c>
      <c r="G193" s="978"/>
      <c r="H193" s="978"/>
      <c r="I193" s="978"/>
      <c r="J193" s="979"/>
      <c r="K193" s="938"/>
    </row>
    <row r="194" spans="1:226" s="939" customFormat="1" ht="15" hidden="1" customHeight="1">
      <c r="A194" s="1503"/>
      <c r="B194" s="1504"/>
      <c r="C194" s="1505"/>
      <c r="D194" s="1506"/>
      <c r="E194" s="1022" t="s">
        <v>372</v>
      </c>
      <c r="F194" s="964">
        <f>SUM(G194:J194)</f>
        <v>0</v>
      </c>
      <c r="G194" s="978"/>
      <c r="H194" s="978"/>
      <c r="I194" s="978"/>
      <c r="J194" s="979"/>
      <c r="K194" s="938"/>
    </row>
    <row r="195" spans="1:226" s="939" customFormat="1" ht="15" hidden="1" customHeight="1">
      <c r="A195" s="1503"/>
      <c r="B195" s="1504"/>
      <c r="C195" s="1505"/>
      <c r="D195" s="1506"/>
      <c r="E195" s="977">
        <v>6069</v>
      </c>
      <c r="F195" s="978">
        <f>SUM(G195:J195)</f>
        <v>0</v>
      </c>
      <c r="G195" s="978"/>
      <c r="H195" s="978"/>
      <c r="I195" s="978"/>
      <c r="J195" s="979"/>
      <c r="K195" s="938"/>
    </row>
    <row r="196" spans="1:226" s="939" customFormat="1" ht="24.95" hidden="1" customHeight="1">
      <c r="A196" s="1503"/>
      <c r="B196" s="1504"/>
      <c r="C196" s="1505">
        <v>600</v>
      </c>
      <c r="D196" s="1506" t="s">
        <v>377</v>
      </c>
      <c r="E196" s="954" t="s">
        <v>937</v>
      </c>
      <c r="F196" s="955">
        <f>SUM(F197,F204)</f>
        <v>0</v>
      </c>
      <c r="G196" s="955">
        <f>SUM(G197,G204)</f>
        <v>0</v>
      </c>
      <c r="H196" s="955">
        <f>SUM(H197,H204)</f>
        <v>0</v>
      </c>
      <c r="I196" s="955">
        <f>SUM(I197,I204)</f>
        <v>0</v>
      </c>
      <c r="J196" s="937">
        <f>SUM(J197,J204)</f>
        <v>0</v>
      </c>
      <c r="K196" s="938"/>
    </row>
    <row r="197" spans="1:226" s="939" customFormat="1" ht="24.95" hidden="1" customHeight="1">
      <c r="A197" s="1507"/>
      <c r="B197" s="1509"/>
      <c r="C197" s="1511"/>
      <c r="D197" s="1513"/>
      <c r="E197" s="957" t="s">
        <v>440</v>
      </c>
      <c r="F197" s="958">
        <f>SUM(F198,F201)</f>
        <v>0</v>
      </c>
      <c r="G197" s="958">
        <f>SUM(G198,G201)</f>
        <v>0</v>
      </c>
      <c r="H197" s="958">
        <f>SUM(H198,H201)</f>
        <v>0</v>
      </c>
      <c r="I197" s="958">
        <f>SUM(I198,I201)</f>
        <v>0</v>
      </c>
      <c r="J197" s="942">
        <f>SUM(J198,J201)</f>
        <v>0</v>
      </c>
      <c r="K197" s="938"/>
    </row>
    <row r="198" spans="1:226" s="939" customFormat="1" ht="24.95" hidden="1" customHeight="1">
      <c r="A198" s="1507"/>
      <c r="B198" s="1509"/>
      <c r="C198" s="1511"/>
      <c r="D198" s="1513"/>
      <c r="E198" s="960" t="s">
        <v>944</v>
      </c>
      <c r="F198" s="961">
        <f>SUM(F199:F200)</f>
        <v>0</v>
      </c>
      <c r="G198" s="961">
        <f>SUM(G199:G200)</f>
        <v>0</v>
      </c>
      <c r="H198" s="961">
        <f>SUM(H199:H200)</f>
        <v>0</v>
      </c>
      <c r="I198" s="961">
        <f>SUM(I199:I200)</f>
        <v>0</v>
      </c>
      <c r="J198" s="951">
        <f>SUM(J199:J200)</f>
        <v>0</v>
      </c>
      <c r="K198" s="938"/>
    </row>
    <row r="199" spans="1:226" s="939" customFormat="1" ht="15" hidden="1" customHeight="1">
      <c r="A199" s="1507"/>
      <c r="B199" s="1509"/>
      <c r="C199" s="1511"/>
      <c r="D199" s="1513"/>
      <c r="E199" s="963"/>
      <c r="F199" s="964">
        <f>SUM(G199:J199)</f>
        <v>0</v>
      </c>
      <c r="G199" s="964"/>
      <c r="H199" s="964"/>
      <c r="I199" s="964"/>
      <c r="J199" s="946"/>
      <c r="K199" s="938"/>
    </row>
    <row r="200" spans="1:226" s="939" customFormat="1" ht="15" hidden="1" customHeight="1">
      <c r="A200" s="1507"/>
      <c r="B200" s="1509"/>
      <c r="C200" s="1511"/>
      <c r="D200" s="1513"/>
      <c r="E200" s="963"/>
      <c r="F200" s="964">
        <f>SUM(G200:J200)</f>
        <v>0</v>
      </c>
      <c r="G200" s="964"/>
      <c r="H200" s="964"/>
      <c r="I200" s="964"/>
      <c r="J200" s="946"/>
      <c r="K200" s="938"/>
    </row>
    <row r="201" spans="1:226" s="939" customFormat="1" ht="24.95" hidden="1" customHeight="1">
      <c r="A201" s="1507"/>
      <c r="B201" s="1509"/>
      <c r="C201" s="1511"/>
      <c r="D201" s="1513"/>
      <c r="E201" s="960" t="s">
        <v>945</v>
      </c>
      <c r="F201" s="961">
        <f>SUM(F202:F203)</f>
        <v>0</v>
      </c>
      <c r="G201" s="961">
        <f>SUM(G202:G203)</f>
        <v>0</v>
      </c>
      <c r="H201" s="961">
        <f>SUM(H202:H203)</f>
        <v>0</v>
      </c>
      <c r="I201" s="961">
        <f>SUM(I202:I203)</f>
        <v>0</v>
      </c>
      <c r="J201" s="951">
        <f>SUM(J202:J203)</f>
        <v>0</v>
      </c>
      <c r="K201" s="938"/>
    </row>
    <row r="202" spans="1:226" s="939" customFormat="1" ht="15" hidden="1" customHeight="1">
      <c r="A202" s="1507"/>
      <c r="B202" s="1509"/>
      <c r="C202" s="1511"/>
      <c r="D202" s="1513"/>
      <c r="E202" s="963"/>
      <c r="F202" s="964">
        <f>SUM(G202:J202)</f>
        <v>0</v>
      </c>
      <c r="G202" s="964"/>
      <c r="H202" s="964"/>
      <c r="I202" s="964"/>
      <c r="J202" s="946"/>
      <c r="K202" s="938"/>
    </row>
    <row r="203" spans="1:226" s="939" customFormat="1" ht="15" hidden="1" customHeight="1">
      <c r="A203" s="1507"/>
      <c r="B203" s="1509"/>
      <c r="C203" s="1511"/>
      <c r="D203" s="1513"/>
      <c r="E203" s="963"/>
      <c r="F203" s="964">
        <f>SUM(G203:J203)</f>
        <v>0</v>
      </c>
      <c r="G203" s="964"/>
      <c r="H203" s="964"/>
      <c r="I203" s="964"/>
      <c r="J203" s="946"/>
      <c r="K203" s="938"/>
    </row>
    <row r="204" spans="1:226" s="939" customFormat="1" ht="24.95" hidden="1" customHeight="1">
      <c r="A204" s="1507"/>
      <c r="B204" s="1509"/>
      <c r="C204" s="1511"/>
      <c r="D204" s="1513"/>
      <c r="E204" s="966" t="s">
        <v>939</v>
      </c>
      <c r="F204" s="958">
        <f>SUM(F205:F209)</f>
        <v>0</v>
      </c>
      <c r="G204" s="958">
        <f>SUM(G205:G209)</f>
        <v>0</v>
      </c>
      <c r="H204" s="958">
        <f>SUM(H205:H209)</f>
        <v>0</v>
      </c>
      <c r="I204" s="958">
        <f>SUM(I205:I209)</f>
        <v>0</v>
      </c>
      <c r="J204" s="942">
        <f>SUM(J205:J209)</f>
        <v>0</v>
      </c>
      <c r="K204" s="938"/>
      <c r="L204" s="938"/>
      <c r="M204" s="938"/>
      <c r="N204" s="938"/>
      <c r="O204" s="938"/>
      <c r="P204" s="938"/>
      <c r="Q204" s="938"/>
      <c r="R204" s="938"/>
      <c r="S204" s="938"/>
      <c r="T204" s="938"/>
      <c r="U204" s="938"/>
      <c r="V204" s="938"/>
      <c r="W204" s="938"/>
      <c r="X204" s="938"/>
      <c r="Y204" s="938"/>
      <c r="Z204" s="938"/>
      <c r="AA204" s="938"/>
      <c r="AB204" s="938"/>
      <c r="AC204" s="938"/>
      <c r="AD204" s="938"/>
      <c r="AE204" s="938"/>
      <c r="AF204" s="938"/>
      <c r="AG204" s="938"/>
      <c r="AH204" s="938"/>
      <c r="AI204" s="938"/>
      <c r="AJ204" s="938"/>
      <c r="AK204" s="938"/>
      <c r="AL204" s="938"/>
      <c r="AM204" s="938"/>
      <c r="AN204" s="938"/>
      <c r="AO204" s="938"/>
      <c r="AP204" s="938"/>
      <c r="AQ204" s="938"/>
      <c r="AR204" s="938"/>
      <c r="AS204" s="938"/>
      <c r="AT204" s="938"/>
      <c r="AU204" s="938"/>
      <c r="AV204" s="938"/>
      <c r="AW204" s="938"/>
      <c r="AX204" s="938"/>
      <c r="AY204" s="938"/>
      <c r="AZ204" s="938"/>
      <c r="BA204" s="938"/>
      <c r="BB204" s="938"/>
      <c r="BC204" s="938"/>
      <c r="BD204" s="938"/>
      <c r="BE204" s="938"/>
      <c r="BF204" s="938"/>
      <c r="BG204" s="938"/>
      <c r="BH204" s="938"/>
      <c r="BI204" s="938"/>
      <c r="BJ204" s="938"/>
      <c r="BK204" s="938"/>
      <c r="BL204" s="938"/>
      <c r="BM204" s="938"/>
      <c r="BN204" s="938"/>
      <c r="BO204" s="938"/>
      <c r="BP204" s="938"/>
      <c r="BQ204" s="938"/>
      <c r="BR204" s="938"/>
      <c r="BS204" s="938"/>
      <c r="BT204" s="938"/>
      <c r="BU204" s="938"/>
      <c r="BV204" s="938"/>
      <c r="BW204" s="938"/>
      <c r="BX204" s="938"/>
      <c r="BY204" s="938"/>
      <c r="BZ204" s="938"/>
      <c r="CA204" s="938"/>
      <c r="CB204" s="938"/>
      <c r="CC204" s="938"/>
      <c r="CD204" s="938"/>
      <c r="CE204" s="938"/>
      <c r="CF204" s="938"/>
      <c r="CG204" s="938"/>
      <c r="CH204" s="938"/>
      <c r="CI204" s="938"/>
      <c r="CJ204" s="938"/>
      <c r="CK204" s="938"/>
      <c r="CL204" s="938"/>
      <c r="CM204" s="938"/>
      <c r="CN204" s="938"/>
      <c r="CO204" s="938"/>
      <c r="CP204" s="938"/>
      <c r="CQ204" s="938"/>
      <c r="CR204" s="938"/>
      <c r="CS204" s="938"/>
      <c r="CT204" s="938"/>
      <c r="CU204" s="938"/>
      <c r="CV204" s="938"/>
      <c r="CW204" s="938"/>
      <c r="CX204" s="938"/>
      <c r="CY204" s="938"/>
      <c r="CZ204" s="938"/>
      <c r="DA204" s="938"/>
      <c r="DB204" s="938"/>
      <c r="DC204" s="938"/>
      <c r="DD204" s="938"/>
      <c r="DE204" s="938"/>
      <c r="DF204" s="938"/>
      <c r="DG204" s="938"/>
      <c r="DH204" s="938"/>
      <c r="DI204" s="938"/>
      <c r="DJ204" s="938"/>
      <c r="DK204" s="938"/>
      <c r="DL204" s="938"/>
      <c r="DM204" s="938"/>
      <c r="DN204" s="938"/>
      <c r="DO204" s="938"/>
      <c r="DP204" s="938"/>
      <c r="DQ204" s="938"/>
      <c r="DR204" s="938"/>
      <c r="DS204" s="938"/>
      <c r="DT204" s="938"/>
      <c r="DU204" s="938"/>
      <c r="DV204" s="938"/>
      <c r="DW204" s="938"/>
      <c r="DX204" s="938"/>
      <c r="DY204" s="938"/>
      <c r="DZ204" s="938"/>
      <c r="EA204" s="938"/>
      <c r="EB204" s="938"/>
      <c r="EC204" s="938"/>
      <c r="ED204" s="938"/>
      <c r="EE204" s="938"/>
      <c r="EF204" s="938"/>
      <c r="EG204" s="938"/>
      <c r="EH204" s="938"/>
      <c r="EI204" s="938"/>
      <c r="EJ204" s="938"/>
      <c r="EK204" s="938"/>
      <c r="EL204" s="938"/>
      <c r="EM204" s="938"/>
      <c r="EN204" s="938"/>
      <c r="EO204" s="938"/>
      <c r="EP204" s="938"/>
      <c r="EQ204" s="938"/>
      <c r="ER204" s="938"/>
      <c r="ES204" s="938"/>
      <c r="ET204" s="938"/>
      <c r="EU204" s="938"/>
      <c r="EV204" s="938"/>
      <c r="EW204" s="938"/>
      <c r="EX204" s="938"/>
      <c r="EY204" s="938"/>
      <c r="EZ204" s="938"/>
      <c r="FA204" s="938"/>
      <c r="FB204" s="938"/>
      <c r="FC204" s="938"/>
      <c r="FD204" s="938"/>
      <c r="FE204" s="938"/>
      <c r="FF204" s="938"/>
      <c r="FG204" s="938"/>
      <c r="FH204" s="938"/>
      <c r="FI204" s="938"/>
      <c r="FJ204" s="938"/>
      <c r="FK204" s="938"/>
      <c r="FL204" s="938"/>
      <c r="FM204" s="938"/>
      <c r="FN204" s="938"/>
      <c r="FO204" s="938"/>
      <c r="FP204" s="938"/>
      <c r="FQ204" s="938"/>
      <c r="FR204" s="938"/>
      <c r="FS204" s="938"/>
      <c r="FT204" s="938"/>
      <c r="FU204" s="938"/>
      <c r="FV204" s="938"/>
      <c r="FW204" s="938"/>
      <c r="FX204" s="938"/>
      <c r="FY204" s="938"/>
      <c r="FZ204" s="938"/>
      <c r="GA204" s="938"/>
      <c r="GB204" s="938"/>
      <c r="GC204" s="938"/>
      <c r="GD204" s="938"/>
      <c r="GE204" s="938"/>
      <c r="GF204" s="938"/>
      <c r="GG204" s="938"/>
      <c r="GH204" s="938"/>
      <c r="GI204" s="938"/>
      <c r="GJ204" s="938"/>
      <c r="GK204" s="938"/>
      <c r="GL204" s="938"/>
      <c r="GM204" s="938"/>
      <c r="GN204" s="938"/>
      <c r="GO204" s="938"/>
      <c r="GP204" s="938"/>
      <c r="GQ204" s="938"/>
      <c r="GR204" s="938"/>
      <c r="GS204" s="938"/>
      <c r="GT204" s="938"/>
      <c r="GU204" s="938"/>
      <c r="GV204" s="938"/>
      <c r="GW204" s="938"/>
      <c r="GX204" s="938"/>
      <c r="GY204" s="938"/>
      <c r="GZ204" s="938"/>
      <c r="HA204" s="938"/>
      <c r="HB204" s="938"/>
      <c r="HC204" s="938"/>
      <c r="HD204" s="938"/>
      <c r="HE204" s="938"/>
      <c r="HF204" s="938"/>
      <c r="HG204" s="938"/>
      <c r="HH204" s="938"/>
      <c r="HI204" s="938"/>
      <c r="HJ204" s="938"/>
      <c r="HK204" s="938"/>
      <c r="HL204" s="938"/>
      <c r="HM204" s="938"/>
      <c r="HN204" s="938"/>
      <c r="HO204" s="938"/>
      <c r="HP204" s="938"/>
      <c r="HQ204" s="938"/>
      <c r="HR204" s="938"/>
    </row>
    <row r="205" spans="1:226" s="939" customFormat="1" ht="15" hidden="1" customHeight="1">
      <c r="A205" s="1507"/>
      <c r="B205" s="1509"/>
      <c r="C205" s="1511"/>
      <c r="D205" s="1513"/>
      <c r="E205" s="963" t="s">
        <v>268</v>
      </c>
      <c r="F205" s="964">
        <f>SUM(G205:J205)</f>
        <v>0</v>
      </c>
      <c r="G205" s="964"/>
      <c r="H205" s="964"/>
      <c r="I205" s="964"/>
      <c r="J205" s="946"/>
      <c r="K205" s="938"/>
    </row>
    <row r="206" spans="1:226" s="939" customFormat="1" ht="15" hidden="1" customHeight="1">
      <c r="A206" s="1507"/>
      <c r="B206" s="1509"/>
      <c r="C206" s="1511"/>
      <c r="D206" s="1513"/>
      <c r="E206" s="977">
        <v>6057</v>
      </c>
      <c r="F206" s="978">
        <f>SUM(G206:J206)</f>
        <v>0</v>
      </c>
      <c r="G206" s="978"/>
      <c r="H206" s="978"/>
      <c r="I206" s="978"/>
      <c r="J206" s="979"/>
      <c r="K206" s="938"/>
    </row>
    <row r="207" spans="1:226" s="939" customFormat="1" ht="15" hidden="1" customHeight="1">
      <c r="A207" s="1507"/>
      <c r="B207" s="1509"/>
      <c r="C207" s="1511"/>
      <c r="D207" s="1513"/>
      <c r="E207" s="977">
        <v>6059</v>
      </c>
      <c r="F207" s="978">
        <f>SUM(G207:J207)</f>
        <v>0</v>
      </c>
      <c r="G207" s="978"/>
      <c r="H207" s="978"/>
      <c r="I207" s="978"/>
      <c r="J207" s="979"/>
      <c r="K207" s="938"/>
    </row>
    <row r="208" spans="1:226" s="939" customFormat="1" ht="15" hidden="1" customHeight="1">
      <c r="A208" s="1507"/>
      <c r="B208" s="1509"/>
      <c r="C208" s="1511"/>
      <c r="D208" s="1513"/>
      <c r="E208" s="1022" t="s">
        <v>372</v>
      </c>
      <c r="F208" s="978">
        <f>SUM(G208:J208)</f>
        <v>0</v>
      </c>
      <c r="G208" s="978"/>
      <c r="H208" s="978"/>
      <c r="I208" s="978"/>
      <c r="J208" s="979"/>
      <c r="K208" s="938"/>
    </row>
    <row r="209" spans="1:226" s="939" customFormat="1" ht="15" hidden="1" customHeight="1" thickBot="1">
      <c r="A209" s="1508"/>
      <c r="B209" s="1510"/>
      <c r="C209" s="1512"/>
      <c r="D209" s="1514"/>
      <c r="E209" s="977">
        <v>6069</v>
      </c>
      <c r="F209" s="978">
        <f>SUM(G209:J209)</f>
        <v>0</v>
      </c>
      <c r="G209" s="978"/>
      <c r="H209" s="978"/>
      <c r="I209" s="978"/>
      <c r="J209" s="979"/>
      <c r="K209" s="938"/>
    </row>
    <row r="210" spans="1:226" s="939" customFormat="1" ht="24.95" hidden="1" customHeight="1">
      <c r="A210" s="1019" t="s">
        <v>988</v>
      </c>
      <c r="B210" s="1542" t="s">
        <v>989</v>
      </c>
      <c r="C210" s="1542"/>
      <c r="D210" s="1542"/>
      <c r="E210" s="1542"/>
      <c r="F210" s="1020">
        <f>F212+F225+F238</f>
        <v>0</v>
      </c>
      <c r="G210" s="1020">
        <f t="shared" ref="G210:J210" si="9">G212+G225+G238</f>
        <v>0</v>
      </c>
      <c r="H210" s="1020">
        <f t="shared" si="9"/>
        <v>0</v>
      </c>
      <c r="I210" s="1020">
        <f t="shared" si="9"/>
        <v>0</v>
      </c>
      <c r="J210" s="1021">
        <f t="shared" si="9"/>
        <v>0</v>
      </c>
      <c r="K210" s="938"/>
    </row>
    <row r="211" spans="1:226" s="939" customFormat="1" ht="15" hidden="1" customHeight="1">
      <c r="A211" s="1543"/>
      <c r="B211" s="1544"/>
      <c r="C211" s="1544"/>
      <c r="D211" s="1544"/>
      <c r="E211" s="1544"/>
      <c r="F211" s="1544"/>
      <c r="G211" s="1544"/>
      <c r="H211" s="1544"/>
      <c r="I211" s="1544"/>
      <c r="J211" s="1545"/>
      <c r="K211" s="938"/>
      <c r="L211" s="938"/>
      <c r="M211" s="938"/>
      <c r="N211" s="938"/>
      <c r="O211" s="938"/>
      <c r="P211" s="938"/>
      <c r="Q211" s="938"/>
      <c r="R211" s="938"/>
      <c r="S211" s="938"/>
      <c r="T211" s="938"/>
      <c r="U211" s="938"/>
      <c r="V211" s="938"/>
      <c r="W211" s="938"/>
      <c r="X211" s="938"/>
      <c r="Y211" s="938"/>
      <c r="Z211" s="938"/>
      <c r="AA211" s="938"/>
      <c r="AB211" s="938"/>
      <c r="AC211" s="938"/>
      <c r="AD211" s="938"/>
      <c r="AE211" s="938"/>
      <c r="AF211" s="938"/>
      <c r="AG211" s="938"/>
      <c r="AH211" s="938"/>
      <c r="AI211" s="938"/>
      <c r="AJ211" s="938"/>
      <c r="AK211" s="938"/>
      <c r="AL211" s="938"/>
      <c r="AM211" s="938"/>
      <c r="AN211" s="938"/>
      <c r="AO211" s="938"/>
      <c r="AP211" s="938"/>
      <c r="AQ211" s="938"/>
      <c r="AR211" s="938"/>
      <c r="AS211" s="938"/>
      <c r="AT211" s="938"/>
      <c r="AU211" s="938"/>
      <c r="AV211" s="938"/>
      <c r="AW211" s="938"/>
      <c r="AX211" s="938"/>
      <c r="AY211" s="938"/>
      <c r="AZ211" s="938"/>
      <c r="BA211" s="938"/>
      <c r="BB211" s="938"/>
      <c r="BC211" s="938"/>
      <c r="BD211" s="938"/>
      <c r="BE211" s="938"/>
      <c r="BF211" s="938"/>
      <c r="BG211" s="938"/>
      <c r="BH211" s="938"/>
      <c r="BI211" s="938"/>
      <c r="BJ211" s="938"/>
      <c r="BK211" s="938"/>
      <c r="BL211" s="938"/>
      <c r="BM211" s="938"/>
      <c r="BN211" s="938"/>
      <c r="BO211" s="938"/>
      <c r="BP211" s="938"/>
      <c r="BQ211" s="938"/>
      <c r="BR211" s="938"/>
      <c r="BS211" s="938"/>
      <c r="BT211" s="938"/>
      <c r="BU211" s="938"/>
      <c r="BV211" s="938"/>
      <c r="BW211" s="938"/>
      <c r="BX211" s="938"/>
      <c r="BY211" s="938"/>
      <c r="BZ211" s="938"/>
      <c r="CA211" s="938"/>
      <c r="CB211" s="938"/>
      <c r="CC211" s="938"/>
      <c r="CD211" s="938"/>
      <c r="CE211" s="938"/>
      <c r="CF211" s="938"/>
      <c r="CG211" s="938"/>
      <c r="CH211" s="938"/>
      <c r="CI211" s="938"/>
      <c r="CJ211" s="938"/>
      <c r="CK211" s="938"/>
      <c r="CL211" s="938"/>
      <c r="CM211" s="938"/>
      <c r="CN211" s="938"/>
      <c r="CO211" s="938"/>
      <c r="CP211" s="938"/>
      <c r="CQ211" s="938"/>
      <c r="CR211" s="938"/>
      <c r="CS211" s="938"/>
      <c r="CT211" s="938"/>
      <c r="CU211" s="938"/>
      <c r="CV211" s="938"/>
      <c r="CW211" s="938"/>
      <c r="CX211" s="938"/>
      <c r="CY211" s="938"/>
      <c r="CZ211" s="938"/>
      <c r="DA211" s="938"/>
      <c r="DB211" s="938"/>
      <c r="DC211" s="938"/>
      <c r="DD211" s="938"/>
      <c r="DE211" s="938"/>
      <c r="DF211" s="938"/>
      <c r="DG211" s="938"/>
      <c r="DH211" s="938"/>
      <c r="DI211" s="938"/>
      <c r="DJ211" s="938"/>
      <c r="DK211" s="938"/>
      <c r="DL211" s="938"/>
      <c r="DM211" s="938"/>
      <c r="DN211" s="938"/>
      <c r="DO211" s="938"/>
      <c r="DP211" s="938"/>
      <c r="DQ211" s="938"/>
      <c r="DR211" s="938"/>
      <c r="DS211" s="938"/>
      <c r="DT211" s="938"/>
      <c r="DU211" s="938"/>
      <c r="DV211" s="938"/>
      <c r="DW211" s="938"/>
      <c r="DX211" s="938"/>
      <c r="DY211" s="938"/>
      <c r="DZ211" s="938"/>
      <c r="EA211" s="938"/>
      <c r="EB211" s="938"/>
      <c r="EC211" s="938"/>
      <c r="ED211" s="938"/>
      <c r="EE211" s="938"/>
      <c r="EF211" s="938"/>
      <c r="EG211" s="938"/>
      <c r="EH211" s="938"/>
      <c r="EI211" s="938"/>
      <c r="EJ211" s="938"/>
      <c r="EK211" s="938"/>
      <c r="EL211" s="938"/>
      <c r="EM211" s="938"/>
      <c r="EN211" s="938"/>
      <c r="EO211" s="938"/>
      <c r="EP211" s="938"/>
      <c r="EQ211" s="938"/>
      <c r="ER211" s="938"/>
      <c r="ES211" s="938"/>
      <c r="ET211" s="938"/>
      <c r="EU211" s="938"/>
      <c r="EV211" s="938"/>
      <c r="EW211" s="938"/>
      <c r="EX211" s="938"/>
      <c r="EY211" s="938"/>
      <c r="EZ211" s="938"/>
      <c r="FA211" s="938"/>
      <c r="FB211" s="938"/>
      <c r="FC211" s="938"/>
      <c r="FD211" s="938"/>
      <c r="FE211" s="938"/>
      <c r="FF211" s="938"/>
      <c r="FG211" s="938"/>
      <c r="FH211" s="938"/>
      <c r="FI211" s="938"/>
      <c r="FJ211" s="938"/>
      <c r="FK211" s="938"/>
      <c r="FL211" s="938"/>
      <c r="FM211" s="938"/>
      <c r="FN211" s="938"/>
      <c r="FO211" s="938"/>
      <c r="FP211" s="938"/>
      <c r="FQ211" s="938"/>
      <c r="FR211" s="938"/>
      <c r="FS211" s="938"/>
      <c r="FT211" s="938"/>
      <c r="FU211" s="938"/>
      <c r="FV211" s="938"/>
      <c r="FW211" s="938"/>
      <c r="FX211" s="938"/>
      <c r="FY211" s="938"/>
      <c r="FZ211" s="938"/>
      <c r="GA211" s="938"/>
      <c r="GB211" s="938"/>
      <c r="GC211" s="938"/>
      <c r="GD211" s="938"/>
      <c r="GE211" s="938"/>
      <c r="GF211" s="938"/>
      <c r="GG211" s="938"/>
      <c r="GH211" s="938"/>
      <c r="GI211" s="938"/>
      <c r="GJ211" s="938"/>
      <c r="GK211" s="938"/>
      <c r="GL211" s="938"/>
      <c r="GM211" s="938"/>
      <c r="GN211" s="938"/>
      <c r="GO211" s="938"/>
      <c r="GP211" s="938"/>
      <c r="GQ211" s="938"/>
      <c r="GR211" s="938"/>
      <c r="GS211" s="938"/>
      <c r="GT211" s="938"/>
      <c r="GU211" s="938"/>
      <c r="GV211" s="938"/>
      <c r="GW211" s="938"/>
      <c r="GX211" s="938"/>
      <c r="GY211" s="938"/>
      <c r="GZ211" s="938"/>
      <c r="HA211" s="938"/>
      <c r="HB211" s="938"/>
      <c r="HC211" s="938"/>
      <c r="HD211" s="938"/>
      <c r="HE211" s="938"/>
      <c r="HF211" s="938"/>
      <c r="HG211" s="938"/>
      <c r="HH211" s="938"/>
      <c r="HI211" s="938"/>
      <c r="HJ211" s="938"/>
      <c r="HK211" s="938"/>
      <c r="HL211" s="938"/>
      <c r="HM211" s="938"/>
      <c r="HN211" s="938"/>
      <c r="HO211" s="938"/>
      <c r="HP211" s="938"/>
      <c r="HQ211" s="938"/>
      <c r="HR211" s="938"/>
    </row>
    <row r="212" spans="1:226" s="939" customFormat="1" ht="24.95" hidden="1" customHeight="1">
      <c r="A212" s="1499"/>
      <c r="B212" s="1500"/>
      <c r="C212" s="1502" t="s">
        <v>5</v>
      </c>
      <c r="D212" s="1506"/>
      <c r="E212" s="954" t="s">
        <v>937</v>
      </c>
      <c r="F212" s="955">
        <f>SUM(F213,F220)</f>
        <v>0</v>
      </c>
      <c r="G212" s="955">
        <f>SUM(G213,G220)</f>
        <v>0</v>
      </c>
      <c r="H212" s="955">
        <f>SUM(H213,H220)</f>
        <v>0</v>
      </c>
      <c r="I212" s="955">
        <f>SUM(I213,I220)</f>
        <v>0</v>
      </c>
      <c r="J212" s="937">
        <f>SUM(J213,J220)</f>
        <v>0</v>
      </c>
      <c r="K212" s="938"/>
    </row>
    <row r="213" spans="1:226" s="939" customFormat="1" ht="24.95" hidden="1" customHeight="1">
      <c r="A213" s="1499"/>
      <c r="B213" s="1500"/>
      <c r="C213" s="1502"/>
      <c r="D213" s="1513"/>
      <c r="E213" s="957" t="s">
        <v>440</v>
      </c>
      <c r="F213" s="958">
        <f>SUM(F214,F217)</f>
        <v>0</v>
      </c>
      <c r="G213" s="958">
        <f>SUM(G214,G217)</f>
        <v>0</v>
      </c>
      <c r="H213" s="958">
        <f>SUM(H214,H217)</f>
        <v>0</v>
      </c>
      <c r="I213" s="958">
        <f>SUM(I214,I217)</f>
        <v>0</v>
      </c>
      <c r="J213" s="942">
        <f>SUM(J214,J217)</f>
        <v>0</v>
      </c>
      <c r="K213" s="938"/>
    </row>
    <row r="214" spans="1:226" s="939" customFormat="1" ht="24.95" hidden="1" customHeight="1">
      <c r="A214" s="1499"/>
      <c r="B214" s="1500"/>
      <c r="C214" s="1502"/>
      <c r="D214" s="1513"/>
      <c r="E214" s="960" t="s">
        <v>944</v>
      </c>
      <c r="F214" s="961">
        <f>SUM(F215:F216)</f>
        <v>0</v>
      </c>
      <c r="G214" s="961">
        <f>SUM(G215:G216)</f>
        <v>0</v>
      </c>
      <c r="H214" s="961">
        <f>SUM(H215:H216)</f>
        <v>0</v>
      </c>
      <c r="I214" s="961">
        <f>SUM(I215:I216)</f>
        <v>0</v>
      </c>
      <c r="J214" s="951">
        <f>SUM(J215:J216)</f>
        <v>0</v>
      </c>
      <c r="K214" s="938"/>
    </row>
    <row r="215" spans="1:226" s="939" customFormat="1" ht="15" hidden="1" customHeight="1">
      <c r="A215" s="1499"/>
      <c r="B215" s="1500"/>
      <c r="C215" s="1502"/>
      <c r="D215" s="1513"/>
      <c r="E215" s="963"/>
      <c r="F215" s="964">
        <f>SUM(G215:J215)</f>
        <v>0</v>
      </c>
      <c r="G215" s="964"/>
      <c r="H215" s="964"/>
      <c r="I215" s="964"/>
      <c r="J215" s="946"/>
      <c r="K215" s="938"/>
    </row>
    <row r="216" spans="1:226" s="939" customFormat="1" ht="15" hidden="1" customHeight="1">
      <c r="A216" s="1499"/>
      <c r="B216" s="1500"/>
      <c r="C216" s="1502"/>
      <c r="D216" s="1513"/>
      <c r="E216" s="963"/>
      <c r="F216" s="964">
        <f>SUM(G216:J216)</f>
        <v>0</v>
      </c>
      <c r="G216" s="964"/>
      <c r="H216" s="964"/>
      <c r="I216" s="964"/>
      <c r="J216" s="946"/>
      <c r="K216" s="938"/>
    </row>
    <row r="217" spans="1:226" s="939" customFormat="1" ht="24.95" hidden="1" customHeight="1">
      <c r="A217" s="1499"/>
      <c r="B217" s="1500"/>
      <c r="C217" s="1502"/>
      <c r="D217" s="1513"/>
      <c r="E217" s="960" t="s">
        <v>945</v>
      </c>
      <c r="F217" s="961">
        <f>SUM(F218:F219)</f>
        <v>0</v>
      </c>
      <c r="G217" s="961">
        <f>SUM(G218:G219)</f>
        <v>0</v>
      </c>
      <c r="H217" s="961">
        <f>SUM(H218:H219)</f>
        <v>0</v>
      </c>
      <c r="I217" s="961">
        <f>SUM(I218:I219)</f>
        <v>0</v>
      </c>
      <c r="J217" s="951">
        <f>SUM(J218:J219)</f>
        <v>0</v>
      </c>
      <c r="K217" s="938"/>
    </row>
    <row r="218" spans="1:226" s="939" customFormat="1" ht="15" hidden="1" customHeight="1">
      <c r="A218" s="1499"/>
      <c r="B218" s="1500"/>
      <c r="C218" s="1502"/>
      <c r="D218" s="1513"/>
      <c r="E218" s="963"/>
      <c r="F218" s="964">
        <f>SUM(G218:J218)</f>
        <v>0</v>
      </c>
      <c r="G218" s="964"/>
      <c r="H218" s="964"/>
      <c r="I218" s="964"/>
      <c r="J218" s="946"/>
      <c r="K218" s="938"/>
    </row>
    <row r="219" spans="1:226" s="939" customFormat="1" ht="15" hidden="1" customHeight="1">
      <c r="A219" s="1499"/>
      <c r="B219" s="1500"/>
      <c r="C219" s="1502"/>
      <c r="D219" s="1513"/>
      <c r="E219" s="963"/>
      <c r="F219" s="964">
        <f>SUM(G219:J219)</f>
        <v>0</v>
      </c>
      <c r="G219" s="964"/>
      <c r="H219" s="964"/>
      <c r="I219" s="964"/>
      <c r="J219" s="946"/>
      <c r="K219" s="938"/>
    </row>
    <row r="220" spans="1:226" s="939" customFormat="1" ht="24.95" hidden="1" customHeight="1">
      <c r="A220" s="1499"/>
      <c r="B220" s="1500"/>
      <c r="C220" s="1502"/>
      <c r="D220" s="1513"/>
      <c r="E220" s="966" t="s">
        <v>939</v>
      </c>
      <c r="F220" s="958">
        <f>SUM(F221:F224)</f>
        <v>0</v>
      </c>
      <c r="G220" s="958">
        <f>SUM(G221:G224)</f>
        <v>0</v>
      </c>
      <c r="H220" s="958">
        <f>SUM(H221:H224)</f>
        <v>0</v>
      </c>
      <c r="I220" s="958">
        <f>SUM(I221:I224)</f>
        <v>0</v>
      </c>
      <c r="J220" s="942">
        <f>SUM(J221:J224)</f>
        <v>0</v>
      </c>
      <c r="K220" s="938"/>
    </row>
    <row r="221" spans="1:226" s="939" customFormat="1" ht="15" hidden="1" customHeight="1">
      <c r="A221" s="1499"/>
      <c r="B221" s="1500"/>
      <c r="C221" s="1502"/>
      <c r="D221" s="963" t="s">
        <v>277</v>
      </c>
      <c r="E221" s="963" t="s">
        <v>268</v>
      </c>
      <c r="F221" s="964">
        <f>SUM(G221:J221)</f>
        <v>0</v>
      </c>
      <c r="G221" s="964"/>
      <c r="H221" s="964"/>
      <c r="I221" s="964"/>
      <c r="J221" s="946"/>
      <c r="K221" s="938"/>
    </row>
    <row r="222" spans="1:226" s="939" customFormat="1" ht="15" hidden="1" customHeight="1">
      <c r="A222" s="1503"/>
      <c r="B222" s="1504"/>
      <c r="C222" s="1506"/>
      <c r="D222" s="1506" t="s">
        <v>330</v>
      </c>
      <c r="E222" s="1022" t="s">
        <v>268</v>
      </c>
      <c r="F222" s="964">
        <f>SUM(G222:J222)</f>
        <v>0</v>
      </c>
      <c r="G222" s="978"/>
      <c r="H222" s="978"/>
      <c r="I222" s="978"/>
      <c r="J222" s="979"/>
      <c r="K222" s="938"/>
    </row>
    <row r="223" spans="1:226" s="939" customFormat="1" ht="15" hidden="1" customHeight="1">
      <c r="A223" s="1503"/>
      <c r="B223" s="1504"/>
      <c r="C223" s="1506"/>
      <c r="D223" s="1513"/>
      <c r="E223" s="1022" t="s">
        <v>282</v>
      </c>
      <c r="F223" s="964">
        <f>SUM(G223:J223)</f>
        <v>0</v>
      </c>
      <c r="G223" s="978"/>
      <c r="H223" s="978"/>
      <c r="I223" s="978"/>
      <c r="J223" s="979"/>
      <c r="K223" s="938"/>
      <c r="L223" s="938"/>
      <c r="M223" s="938"/>
      <c r="N223" s="938"/>
      <c r="O223" s="938"/>
      <c r="P223" s="938"/>
      <c r="Q223" s="938"/>
      <c r="R223" s="938"/>
      <c r="S223" s="938"/>
      <c r="T223" s="938"/>
      <c r="U223" s="938"/>
      <c r="V223" s="938"/>
      <c r="W223" s="938"/>
      <c r="X223" s="938"/>
      <c r="Y223" s="938"/>
      <c r="Z223" s="938"/>
      <c r="AA223" s="938"/>
      <c r="AB223" s="938"/>
      <c r="AC223" s="938"/>
      <c r="AD223" s="938"/>
      <c r="AE223" s="938"/>
      <c r="AF223" s="938"/>
      <c r="AG223" s="938"/>
      <c r="AH223" s="938"/>
      <c r="AI223" s="938"/>
      <c r="AJ223" s="938"/>
      <c r="AK223" s="938"/>
      <c r="AL223" s="938"/>
      <c r="AM223" s="938"/>
      <c r="AN223" s="938"/>
      <c r="AO223" s="938"/>
      <c r="AP223" s="938"/>
      <c r="AQ223" s="938"/>
      <c r="AR223" s="938"/>
      <c r="AS223" s="938"/>
      <c r="AT223" s="938"/>
      <c r="AU223" s="938"/>
      <c r="AV223" s="938"/>
      <c r="AW223" s="938"/>
      <c r="AX223" s="938"/>
      <c r="AY223" s="938"/>
      <c r="AZ223" s="938"/>
      <c r="BA223" s="938"/>
      <c r="BB223" s="938"/>
      <c r="BC223" s="938"/>
      <c r="BD223" s="938"/>
      <c r="BE223" s="938"/>
      <c r="BF223" s="938"/>
      <c r="BG223" s="938"/>
      <c r="BH223" s="938"/>
      <c r="BI223" s="938"/>
      <c r="BJ223" s="938"/>
      <c r="BK223" s="938"/>
      <c r="BL223" s="938"/>
      <c r="BM223" s="938"/>
      <c r="BN223" s="938"/>
      <c r="BO223" s="938"/>
      <c r="BP223" s="938"/>
      <c r="BQ223" s="938"/>
      <c r="BR223" s="938"/>
      <c r="BS223" s="938"/>
      <c r="BT223" s="938"/>
      <c r="BU223" s="938"/>
      <c r="BV223" s="938"/>
      <c r="BW223" s="938"/>
      <c r="BX223" s="938"/>
      <c r="BY223" s="938"/>
      <c r="BZ223" s="938"/>
      <c r="CA223" s="938"/>
      <c r="CB223" s="938"/>
      <c r="CC223" s="938"/>
      <c r="CD223" s="938"/>
      <c r="CE223" s="938"/>
      <c r="CF223" s="938"/>
      <c r="CG223" s="938"/>
      <c r="CH223" s="938"/>
      <c r="CI223" s="938"/>
      <c r="CJ223" s="938"/>
      <c r="CK223" s="938"/>
      <c r="CL223" s="938"/>
      <c r="CM223" s="938"/>
      <c r="CN223" s="938"/>
      <c r="CO223" s="938"/>
      <c r="CP223" s="938"/>
      <c r="CQ223" s="938"/>
      <c r="CR223" s="938"/>
      <c r="CS223" s="938"/>
      <c r="CT223" s="938"/>
      <c r="CU223" s="938"/>
      <c r="CV223" s="938"/>
      <c r="CW223" s="938"/>
      <c r="CX223" s="938"/>
      <c r="CY223" s="938"/>
      <c r="CZ223" s="938"/>
      <c r="DA223" s="938"/>
      <c r="DB223" s="938"/>
      <c r="DC223" s="938"/>
      <c r="DD223" s="938"/>
      <c r="DE223" s="938"/>
      <c r="DF223" s="938"/>
      <c r="DG223" s="938"/>
      <c r="DH223" s="938"/>
      <c r="DI223" s="938"/>
      <c r="DJ223" s="938"/>
      <c r="DK223" s="938"/>
      <c r="DL223" s="938"/>
      <c r="DM223" s="938"/>
      <c r="DN223" s="938"/>
      <c r="DO223" s="938"/>
      <c r="DP223" s="938"/>
      <c r="DQ223" s="938"/>
      <c r="DR223" s="938"/>
      <c r="DS223" s="938"/>
      <c r="DT223" s="938"/>
      <c r="DU223" s="938"/>
      <c r="DV223" s="938"/>
      <c r="DW223" s="938"/>
      <c r="DX223" s="938"/>
      <c r="DY223" s="938"/>
      <c r="DZ223" s="938"/>
      <c r="EA223" s="938"/>
      <c r="EB223" s="938"/>
      <c r="EC223" s="938"/>
      <c r="ED223" s="938"/>
      <c r="EE223" s="938"/>
      <c r="EF223" s="938"/>
      <c r="EG223" s="938"/>
      <c r="EH223" s="938"/>
      <c r="EI223" s="938"/>
      <c r="EJ223" s="938"/>
      <c r="EK223" s="938"/>
      <c r="EL223" s="938"/>
      <c r="EM223" s="938"/>
      <c r="EN223" s="938"/>
      <c r="EO223" s="938"/>
      <c r="EP223" s="938"/>
      <c r="EQ223" s="938"/>
      <c r="ER223" s="938"/>
      <c r="ES223" s="938"/>
      <c r="ET223" s="938"/>
      <c r="EU223" s="938"/>
      <c r="EV223" s="938"/>
      <c r="EW223" s="938"/>
      <c r="EX223" s="938"/>
      <c r="EY223" s="938"/>
      <c r="EZ223" s="938"/>
      <c r="FA223" s="938"/>
      <c r="FB223" s="938"/>
      <c r="FC223" s="938"/>
      <c r="FD223" s="938"/>
      <c r="FE223" s="938"/>
      <c r="FF223" s="938"/>
      <c r="FG223" s="938"/>
      <c r="FH223" s="938"/>
      <c r="FI223" s="938"/>
      <c r="FJ223" s="938"/>
      <c r="FK223" s="938"/>
      <c r="FL223" s="938"/>
      <c r="FM223" s="938"/>
      <c r="FN223" s="938"/>
      <c r="FO223" s="938"/>
      <c r="FP223" s="938"/>
      <c r="FQ223" s="938"/>
      <c r="FR223" s="938"/>
      <c r="FS223" s="938"/>
      <c r="FT223" s="938"/>
      <c r="FU223" s="938"/>
      <c r="FV223" s="938"/>
      <c r="FW223" s="938"/>
      <c r="FX223" s="938"/>
      <c r="FY223" s="938"/>
      <c r="FZ223" s="938"/>
      <c r="GA223" s="938"/>
      <c r="GB223" s="938"/>
      <c r="GC223" s="938"/>
      <c r="GD223" s="938"/>
      <c r="GE223" s="938"/>
      <c r="GF223" s="938"/>
      <c r="GG223" s="938"/>
      <c r="GH223" s="938"/>
      <c r="GI223" s="938"/>
      <c r="GJ223" s="938"/>
      <c r="GK223" s="938"/>
      <c r="GL223" s="938"/>
      <c r="GM223" s="938"/>
      <c r="GN223" s="938"/>
      <c r="GO223" s="938"/>
      <c r="GP223" s="938"/>
      <c r="GQ223" s="938"/>
      <c r="GR223" s="938"/>
      <c r="GS223" s="938"/>
      <c r="GT223" s="938"/>
      <c r="GU223" s="938"/>
      <c r="GV223" s="938"/>
      <c r="GW223" s="938"/>
      <c r="GX223" s="938"/>
      <c r="GY223" s="938"/>
      <c r="GZ223" s="938"/>
      <c r="HA223" s="938"/>
      <c r="HB223" s="938"/>
      <c r="HC223" s="938"/>
      <c r="HD223" s="938"/>
      <c r="HE223" s="938"/>
      <c r="HF223" s="938"/>
      <c r="HG223" s="938"/>
      <c r="HH223" s="938"/>
      <c r="HI223" s="938"/>
      <c r="HJ223" s="938"/>
      <c r="HK223" s="938"/>
      <c r="HL223" s="938"/>
      <c r="HM223" s="938"/>
      <c r="HN223" s="938"/>
      <c r="HO223" s="938"/>
      <c r="HP223" s="938"/>
      <c r="HQ223" s="938"/>
      <c r="HR223" s="938"/>
    </row>
    <row r="224" spans="1:226" s="939" customFormat="1" ht="15" hidden="1" customHeight="1">
      <c r="A224" s="1499"/>
      <c r="B224" s="1500"/>
      <c r="C224" s="1502"/>
      <c r="D224" s="1514"/>
      <c r="E224" s="975">
        <v>6059</v>
      </c>
      <c r="F224" s="964">
        <f>SUM(G224:J224)</f>
        <v>0</v>
      </c>
      <c r="G224" s="964"/>
      <c r="H224" s="964"/>
      <c r="I224" s="964"/>
      <c r="J224" s="946"/>
      <c r="K224" s="938"/>
    </row>
    <row r="225" spans="1:226" s="939" customFormat="1" ht="24.95" hidden="1" customHeight="1">
      <c r="A225" s="1499"/>
      <c r="B225" s="1500"/>
      <c r="C225" s="1502" t="s">
        <v>5</v>
      </c>
      <c r="D225" s="1506"/>
      <c r="E225" s="954" t="s">
        <v>937</v>
      </c>
      <c r="F225" s="955">
        <f>SUM(F226,F233)</f>
        <v>0</v>
      </c>
      <c r="G225" s="955">
        <f>SUM(G226,G233)</f>
        <v>0</v>
      </c>
      <c r="H225" s="955">
        <f>SUM(H226,H233)</f>
        <v>0</v>
      </c>
      <c r="I225" s="955">
        <f>SUM(I226,I233)</f>
        <v>0</v>
      </c>
      <c r="J225" s="937">
        <f>SUM(J226,J233)</f>
        <v>0</v>
      </c>
      <c r="K225" s="938"/>
    </row>
    <row r="226" spans="1:226" s="939" customFormat="1" ht="24.95" hidden="1" customHeight="1">
      <c r="A226" s="1499"/>
      <c r="B226" s="1500"/>
      <c r="C226" s="1502"/>
      <c r="D226" s="1513"/>
      <c r="E226" s="957" t="s">
        <v>440</v>
      </c>
      <c r="F226" s="958">
        <f>SUM(F227,F230)</f>
        <v>0</v>
      </c>
      <c r="G226" s="958">
        <f>SUM(G227,G230)</f>
        <v>0</v>
      </c>
      <c r="H226" s="958">
        <f>SUM(H227,H230)</f>
        <v>0</v>
      </c>
      <c r="I226" s="958">
        <f>SUM(I227,I230)</f>
        <v>0</v>
      </c>
      <c r="J226" s="942">
        <f>SUM(J227,J230)</f>
        <v>0</v>
      </c>
      <c r="K226" s="938"/>
    </row>
    <row r="227" spans="1:226" s="939" customFormat="1" ht="24.95" hidden="1" customHeight="1">
      <c r="A227" s="1499"/>
      <c r="B227" s="1500"/>
      <c r="C227" s="1502"/>
      <c r="D227" s="1513"/>
      <c r="E227" s="960" t="s">
        <v>944</v>
      </c>
      <c r="F227" s="961">
        <f>SUM(F228:F229)</f>
        <v>0</v>
      </c>
      <c r="G227" s="961">
        <f>SUM(G228:G229)</f>
        <v>0</v>
      </c>
      <c r="H227" s="961">
        <f>SUM(H228:H229)</f>
        <v>0</v>
      </c>
      <c r="I227" s="961">
        <f>SUM(I228:I229)</f>
        <v>0</v>
      </c>
      <c r="J227" s="951">
        <f>SUM(J228:J229)</f>
        <v>0</v>
      </c>
      <c r="K227" s="938"/>
    </row>
    <row r="228" spans="1:226" s="939" customFormat="1" ht="15" hidden="1" customHeight="1">
      <c r="A228" s="1499"/>
      <c r="B228" s="1500"/>
      <c r="C228" s="1502"/>
      <c r="D228" s="1513"/>
      <c r="E228" s="963"/>
      <c r="F228" s="964">
        <f>SUM(G228:J228)</f>
        <v>0</v>
      </c>
      <c r="G228" s="964"/>
      <c r="H228" s="964"/>
      <c r="I228" s="964"/>
      <c r="J228" s="946"/>
      <c r="K228" s="938"/>
    </row>
    <row r="229" spans="1:226" s="939" customFormat="1" ht="15" hidden="1" customHeight="1">
      <c r="A229" s="1499"/>
      <c r="B229" s="1500"/>
      <c r="C229" s="1502"/>
      <c r="D229" s="1513"/>
      <c r="E229" s="963"/>
      <c r="F229" s="964">
        <f>SUM(G229:J229)</f>
        <v>0</v>
      </c>
      <c r="G229" s="964"/>
      <c r="H229" s="964"/>
      <c r="I229" s="964"/>
      <c r="J229" s="946"/>
      <c r="K229" s="938"/>
    </row>
    <row r="230" spans="1:226" s="939" customFormat="1" ht="24.95" hidden="1" customHeight="1">
      <c r="A230" s="1499"/>
      <c r="B230" s="1500"/>
      <c r="C230" s="1502"/>
      <c r="D230" s="1513"/>
      <c r="E230" s="960" t="s">
        <v>945</v>
      </c>
      <c r="F230" s="961">
        <f>SUM(F231:F232)</f>
        <v>0</v>
      </c>
      <c r="G230" s="961">
        <f>SUM(G231:G232)</f>
        <v>0</v>
      </c>
      <c r="H230" s="961">
        <f>SUM(H231:H232)</f>
        <v>0</v>
      </c>
      <c r="I230" s="961">
        <f>SUM(I231:I232)</f>
        <v>0</v>
      </c>
      <c r="J230" s="951">
        <f>SUM(J231:J232)</f>
        <v>0</v>
      </c>
      <c r="K230" s="938"/>
    </row>
    <row r="231" spans="1:226" s="939" customFormat="1" ht="15" hidden="1" customHeight="1">
      <c r="A231" s="1499"/>
      <c r="B231" s="1500"/>
      <c r="C231" s="1502"/>
      <c r="D231" s="1513"/>
      <c r="E231" s="963"/>
      <c r="F231" s="964">
        <f>SUM(G231:J231)</f>
        <v>0</v>
      </c>
      <c r="G231" s="964"/>
      <c r="H231" s="964"/>
      <c r="I231" s="964"/>
      <c r="J231" s="946"/>
      <c r="K231" s="938"/>
    </row>
    <row r="232" spans="1:226" s="939" customFormat="1" ht="15" hidden="1" customHeight="1">
      <c r="A232" s="1499"/>
      <c r="B232" s="1500"/>
      <c r="C232" s="1502"/>
      <c r="D232" s="1513"/>
      <c r="E232" s="963"/>
      <c r="F232" s="964">
        <f>SUM(G232:J232)</f>
        <v>0</v>
      </c>
      <c r="G232" s="964"/>
      <c r="H232" s="964"/>
      <c r="I232" s="964"/>
      <c r="J232" s="946"/>
      <c r="K232" s="938"/>
    </row>
    <row r="233" spans="1:226" s="939" customFormat="1" ht="24.95" hidden="1" customHeight="1">
      <c r="A233" s="1499"/>
      <c r="B233" s="1500"/>
      <c r="C233" s="1502"/>
      <c r="D233" s="1514"/>
      <c r="E233" s="966" t="s">
        <v>939</v>
      </c>
      <c r="F233" s="958">
        <f>SUM(F234:F237)</f>
        <v>0</v>
      </c>
      <c r="G233" s="958">
        <f>SUM(G234:G237)</f>
        <v>0</v>
      </c>
      <c r="H233" s="958">
        <f>SUM(H234:H237)</f>
        <v>0</v>
      </c>
      <c r="I233" s="958">
        <f>SUM(I234:I237)</f>
        <v>0</v>
      </c>
      <c r="J233" s="942">
        <f>SUM(J234:J237)</f>
        <v>0</v>
      </c>
      <c r="K233" s="938"/>
    </row>
    <row r="234" spans="1:226" s="939" customFormat="1" ht="15" hidden="1" customHeight="1">
      <c r="A234" s="1499"/>
      <c r="B234" s="1500"/>
      <c r="C234" s="1502"/>
      <c r="D234" s="963" t="s">
        <v>277</v>
      </c>
      <c r="E234" s="963" t="s">
        <v>268</v>
      </c>
      <c r="F234" s="964">
        <f>SUM(G234:J234)</f>
        <v>0</v>
      </c>
      <c r="G234" s="964"/>
      <c r="H234" s="964"/>
      <c r="I234" s="964"/>
      <c r="J234" s="946"/>
      <c r="K234" s="938"/>
    </row>
    <row r="235" spans="1:226" s="939" customFormat="1" ht="15" hidden="1" customHeight="1">
      <c r="A235" s="1503"/>
      <c r="B235" s="1504"/>
      <c r="C235" s="1506"/>
      <c r="D235" s="1506" t="s">
        <v>330</v>
      </c>
      <c r="E235" s="1022" t="s">
        <v>268</v>
      </c>
      <c r="F235" s="978">
        <f>SUM(G235:J235)</f>
        <v>0</v>
      </c>
      <c r="G235" s="978"/>
      <c r="H235" s="978"/>
      <c r="I235" s="978"/>
      <c r="J235" s="979"/>
      <c r="K235" s="938"/>
      <c r="L235" s="938"/>
      <c r="M235" s="938"/>
      <c r="N235" s="938"/>
      <c r="O235" s="938"/>
      <c r="P235" s="938"/>
      <c r="Q235" s="938"/>
      <c r="R235" s="938"/>
      <c r="S235" s="938"/>
      <c r="T235" s="938"/>
      <c r="U235" s="938"/>
      <c r="V235" s="938"/>
      <c r="W235" s="938"/>
      <c r="X235" s="938"/>
      <c r="Y235" s="938"/>
      <c r="Z235" s="938"/>
      <c r="AA235" s="938"/>
      <c r="AB235" s="938"/>
      <c r="AC235" s="938"/>
      <c r="AD235" s="938"/>
      <c r="AE235" s="938"/>
      <c r="AF235" s="938"/>
      <c r="AG235" s="938"/>
      <c r="AH235" s="938"/>
      <c r="AI235" s="938"/>
      <c r="AJ235" s="938"/>
      <c r="AK235" s="938"/>
      <c r="AL235" s="938"/>
      <c r="AM235" s="938"/>
      <c r="AN235" s="938"/>
      <c r="AO235" s="938"/>
      <c r="AP235" s="938"/>
      <c r="AQ235" s="938"/>
      <c r="AR235" s="938"/>
      <c r="AS235" s="938"/>
      <c r="AT235" s="938"/>
      <c r="AU235" s="938"/>
      <c r="AV235" s="938"/>
      <c r="AW235" s="938"/>
      <c r="AX235" s="938"/>
      <c r="AY235" s="938"/>
      <c r="AZ235" s="938"/>
      <c r="BA235" s="938"/>
      <c r="BB235" s="938"/>
      <c r="BC235" s="938"/>
      <c r="BD235" s="938"/>
      <c r="BE235" s="938"/>
      <c r="BF235" s="938"/>
      <c r="BG235" s="938"/>
      <c r="BH235" s="938"/>
      <c r="BI235" s="938"/>
      <c r="BJ235" s="938"/>
      <c r="BK235" s="938"/>
      <c r="BL235" s="938"/>
      <c r="BM235" s="938"/>
      <c r="BN235" s="938"/>
      <c r="BO235" s="938"/>
      <c r="BP235" s="938"/>
      <c r="BQ235" s="938"/>
      <c r="BR235" s="938"/>
      <c r="BS235" s="938"/>
      <c r="BT235" s="938"/>
      <c r="BU235" s="938"/>
      <c r="BV235" s="938"/>
      <c r="BW235" s="938"/>
      <c r="BX235" s="938"/>
      <c r="BY235" s="938"/>
      <c r="BZ235" s="938"/>
      <c r="CA235" s="938"/>
      <c r="CB235" s="938"/>
      <c r="CC235" s="938"/>
      <c r="CD235" s="938"/>
      <c r="CE235" s="938"/>
      <c r="CF235" s="938"/>
      <c r="CG235" s="938"/>
      <c r="CH235" s="938"/>
      <c r="CI235" s="938"/>
      <c r="CJ235" s="938"/>
      <c r="CK235" s="938"/>
      <c r="CL235" s="938"/>
      <c r="CM235" s="938"/>
      <c r="CN235" s="938"/>
      <c r="CO235" s="938"/>
      <c r="CP235" s="938"/>
      <c r="CQ235" s="938"/>
      <c r="CR235" s="938"/>
      <c r="CS235" s="938"/>
      <c r="CT235" s="938"/>
      <c r="CU235" s="938"/>
      <c r="CV235" s="938"/>
      <c r="CW235" s="938"/>
      <c r="CX235" s="938"/>
      <c r="CY235" s="938"/>
      <c r="CZ235" s="938"/>
      <c r="DA235" s="938"/>
      <c r="DB235" s="938"/>
      <c r="DC235" s="938"/>
      <c r="DD235" s="938"/>
      <c r="DE235" s="938"/>
      <c r="DF235" s="938"/>
      <c r="DG235" s="938"/>
      <c r="DH235" s="938"/>
      <c r="DI235" s="938"/>
      <c r="DJ235" s="938"/>
      <c r="DK235" s="938"/>
      <c r="DL235" s="938"/>
      <c r="DM235" s="938"/>
      <c r="DN235" s="938"/>
      <c r="DO235" s="938"/>
      <c r="DP235" s="938"/>
      <c r="DQ235" s="938"/>
      <c r="DR235" s="938"/>
      <c r="DS235" s="938"/>
      <c r="DT235" s="938"/>
      <c r="DU235" s="938"/>
      <c r="DV235" s="938"/>
      <c r="DW235" s="938"/>
      <c r="DX235" s="938"/>
      <c r="DY235" s="938"/>
      <c r="DZ235" s="938"/>
      <c r="EA235" s="938"/>
      <c r="EB235" s="938"/>
      <c r="EC235" s="938"/>
      <c r="ED235" s="938"/>
      <c r="EE235" s="938"/>
      <c r="EF235" s="938"/>
      <c r="EG235" s="938"/>
      <c r="EH235" s="938"/>
      <c r="EI235" s="938"/>
      <c r="EJ235" s="938"/>
      <c r="EK235" s="938"/>
      <c r="EL235" s="938"/>
      <c r="EM235" s="938"/>
      <c r="EN235" s="938"/>
      <c r="EO235" s="938"/>
      <c r="EP235" s="938"/>
      <c r="EQ235" s="938"/>
      <c r="ER235" s="938"/>
      <c r="ES235" s="938"/>
      <c r="ET235" s="938"/>
      <c r="EU235" s="938"/>
      <c r="EV235" s="938"/>
      <c r="EW235" s="938"/>
      <c r="EX235" s="938"/>
      <c r="EY235" s="938"/>
      <c r="EZ235" s="938"/>
      <c r="FA235" s="938"/>
      <c r="FB235" s="938"/>
      <c r="FC235" s="938"/>
      <c r="FD235" s="938"/>
      <c r="FE235" s="938"/>
      <c r="FF235" s="938"/>
      <c r="FG235" s="938"/>
      <c r="FH235" s="938"/>
      <c r="FI235" s="938"/>
      <c r="FJ235" s="938"/>
      <c r="FK235" s="938"/>
      <c r="FL235" s="938"/>
      <c r="FM235" s="938"/>
      <c r="FN235" s="938"/>
      <c r="FO235" s="938"/>
      <c r="FP235" s="938"/>
      <c r="FQ235" s="938"/>
      <c r="FR235" s="938"/>
      <c r="FS235" s="938"/>
      <c r="FT235" s="938"/>
      <c r="FU235" s="938"/>
      <c r="FV235" s="938"/>
      <c r="FW235" s="938"/>
      <c r="FX235" s="938"/>
      <c r="FY235" s="938"/>
      <c r="FZ235" s="938"/>
      <c r="GA235" s="938"/>
      <c r="GB235" s="938"/>
      <c r="GC235" s="938"/>
      <c r="GD235" s="938"/>
      <c r="GE235" s="938"/>
      <c r="GF235" s="938"/>
      <c r="GG235" s="938"/>
      <c r="GH235" s="938"/>
      <c r="GI235" s="938"/>
      <c r="GJ235" s="938"/>
      <c r="GK235" s="938"/>
      <c r="GL235" s="938"/>
      <c r="GM235" s="938"/>
      <c r="GN235" s="938"/>
      <c r="GO235" s="938"/>
      <c r="GP235" s="938"/>
      <c r="GQ235" s="938"/>
      <c r="GR235" s="938"/>
      <c r="GS235" s="938"/>
      <c r="GT235" s="938"/>
      <c r="GU235" s="938"/>
      <c r="GV235" s="938"/>
      <c r="GW235" s="938"/>
      <c r="GX235" s="938"/>
      <c r="GY235" s="938"/>
      <c r="GZ235" s="938"/>
      <c r="HA235" s="938"/>
      <c r="HB235" s="938"/>
      <c r="HC235" s="938"/>
      <c r="HD235" s="938"/>
      <c r="HE235" s="938"/>
      <c r="HF235" s="938"/>
      <c r="HG235" s="938"/>
      <c r="HH235" s="938"/>
      <c r="HI235" s="938"/>
      <c r="HJ235" s="938"/>
      <c r="HK235" s="938"/>
      <c r="HL235" s="938"/>
      <c r="HM235" s="938"/>
      <c r="HN235" s="938"/>
      <c r="HO235" s="938"/>
      <c r="HP235" s="938"/>
      <c r="HQ235" s="938"/>
      <c r="HR235" s="938"/>
    </row>
    <row r="236" spans="1:226" s="939" customFormat="1" ht="15" hidden="1" customHeight="1">
      <c r="A236" s="1503"/>
      <c r="B236" s="1504"/>
      <c r="C236" s="1506"/>
      <c r="D236" s="1513"/>
      <c r="E236" s="1022" t="s">
        <v>282</v>
      </c>
      <c r="F236" s="978">
        <f>SUM(G236:J236)</f>
        <v>0</v>
      </c>
      <c r="G236" s="978"/>
      <c r="H236" s="978"/>
      <c r="I236" s="978"/>
      <c r="J236" s="979"/>
      <c r="K236" s="938"/>
      <c r="L236" s="938"/>
      <c r="M236" s="938"/>
      <c r="N236" s="938"/>
      <c r="O236" s="938"/>
      <c r="P236" s="938"/>
      <c r="Q236" s="938"/>
      <c r="R236" s="938"/>
      <c r="S236" s="938"/>
      <c r="T236" s="938"/>
      <c r="U236" s="938"/>
      <c r="V236" s="938"/>
      <c r="W236" s="938"/>
      <c r="X236" s="938"/>
      <c r="Y236" s="938"/>
      <c r="Z236" s="938"/>
      <c r="AA236" s="938"/>
      <c r="AB236" s="938"/>
      <c r="AC236" s="938"/>
      <c r="AD236" s="938"/>
      <c r="AE236" s="938"/>
      <c r="AF236" s="938"/>
      <c r="AG236" s="938"/>
      <c r="AH236" s="938"/>
      <c r="AI236" s="938"/>
      <c r="AJ236" s="938"/>
      <c r="AK236" s="938"/>
      <c r="AL236" s="938"/>
      <c r="AM236" s="938"/>
      <c r="AN236" s="938"/>
      <c r="AO236" s="938"/>
      <c r="AP236" s="938"/>
      <c r="AQ236" s="938"/>
      <c r="AR236" s="938"/>
      <c r="AS236" s="938"/>
      <c r="AT236" s="938"/>
      <c r="AU236" s="938"/>
      <c r="AV236" s="938"/>
      <c r="AW236" s="938"/>
      <c r="AX236" s="938"/>
      <c r="AY236" s="938"/>
      <c r="AZ236" s="938"/>
      <c r="BA236" s="938"/>
      <c r="BB236" s="938"/>
      <c r="BC236" s="938"/>
      <c r="BD236" s="938"/>
      <c r="BE236" s="938"/>
      <c r="BF236" s="938"/>
      <c r="BG236" s="938"/>
      <c r="BH236" s="938"/>
      <c r="BI236" s="938"/>
      <c r="BJ236" s="938"/>
      <c r="BK236" s="938"/>
      <c r="BL236" s="938"/>
      <c r="BM236" s="938"/>
      <c r="BN236" s="938"/>
      <c r="BO236" s="938"/>
      <c r="BP236" s="938"/>
      <c r="BQ236" s="938"/>
      <c r="BR236" s="938"/>
      <c r="BS236" s="938"/>
      <c r="BT236" s="938"/>
      <c r="BU236" s="938"/>
      <c r="BV236" s="938"/>
      <c r="BW236" s="938"/>
      <c r="BX236" s="938"/>
      <c r="BY236" s="938"/>
      <c r="BZ236" s="938"/>
      <c r="CA236" s="938"/>
      <c r="CB236" s="938"/>
      <c r="CC236" s="938"/>
      <c r="CD236" s="938"/>
      <c r="CE236" s="938"/>
      <c r="CF236" s="938"/>
      <c r="CG236" s="938"/>
      <c r="CH236" s="938"/>
      <c r="CI236" s="938"/>
      <c r="CJ236" s="938"/>
      <c r="CK236" s="938"/>
      <c r="CL236" s="938"/>
      <c r="CM236" s="938"/>
      <c r="CN236" s="938"/>
      <c r="CO236" s="938"/>
      <c r="CP236" s="938"/>
      <c r="CQ236" s="938"/>
      <c r="CR236" s="938"/>
      <c r="CS236" s="938"/>
      <c r="CT236" s="938"/>
      <c r="CU236" s="938"/>
      <c r="CV236" s="938"/>
      <c r="CW236" s="938"/>
      <c r="CX236" s="938"/>
      <c r="CY236" s="938"/>
      <c r="CZ236" s="938"/>
      <c r="DA236" s="938"/>
      <c r="DB236" s="938"/>
      <c r="DC236" s="938"/>
      <c r="DD236" s="938"/>
      <c r="DE236" s="938"/>
      <c r="DF236" s="938"/>
      <c r="DG236" s="938"/>
      <c r="DH236" s="938"/>
      <c r="DI236" s="938"/>
      <c r="DJ236" s="938"/>
      <c r="DK236" s="938"/>
      <c r="DL236" s="938"/>
      <c r="DM236" s="938"/>
      <c r="DN236" s="938"/>
      <c r="DO236" s="938"/>
      <c r="DP236" s="938"/>
      <c r="DQ236" s="938"/>
      <c r="DR236" s="938"/>
      <c r="DS236" s="938"/>
      <c r="DT236" s="938"/>
      <c r="DU236" s="938"/>
      <c r="DV236" s="938"/>
      <c r="DW236" s="938"/>
      <c r="DX236" s="938"/>
      <c r="DY236" s="938"/>
      <c r="DZ236" s="938"/>
      <c r="EA236" s="938"/>
      <c r="EB236" s="938"/>
      <c r="EC236" s="938"/>
      <c r="ED236" s="938"/>
      <c r="EE236" s="938"/>
      <c r="EF236" s="938"/>
      <c r="EG236" s="938"/>
      <c r="EH236" s="938"/>
      <c r="EI236" s="938"/>
      <c r="EJ236" s="938"/>
      <c r="EK236" s="938"/>
      <c r="EL236" s="938"/>
      <c r="EM236" s="938"/>
      <c r="EN236" s="938"/>
      <c r="EO236" s="938"/>
      <c r="EP236" s="938"/>
      <c r="EQ236" s="938"/>
      <c r="ER236" s="938"/>
      <c r="ES236" s="938"/>
      <c r="ET236" s="938"/>
      <c r="EU236" s="938"/>
      <c r="EV236" s="938"/>
      <c r="EW236" s="938"/>
      <c r="EX236" s="938"/>
      <c r="EY236" s="938"/>
      <c r="EZ236" s="938"/>
      <c r="FA236" s="938"/>
      <c r="FB236" s="938"/>
      <c r="FC236" s="938"/>
      <c r="FD236" s="938"/>
      <c r="FE236" s="938"/>
      <c r="FF236" s="938"/>
      <c r="FG236" s="938"/>
      <c r="FH236" s="938"/>
      <c r="FI236" s="938"/>
      <c r="FJ236" s="938"/>
      <c r="FK236" s="938"/>
      <c r="FL236" s="938"/>
      <c r="FM236" s="938"/>
      <c r="FN236" s="938"/>
      <c r="FO236" s="938"/>
      <c r="FP236" s="938"/>
      <c r="FQ236" s="938"/>
      <c r="FR236" s="938"/>
      <c r="FS236" s="938"/>
      <c r="FT236" s="938"/>
      <c r="FU236" s="938"/>
      <c r="FV236" s="938"/>
      <c r="FW236" s="938"/>
      <c r="FX236" s="938"/>
      <c r="FY236" s="938"/>
      <c r="FZ236" s="938"/>
      <c r="GA236" s="938"/>
      <c r="GB236" s="938"/>
      <c r="GC236" s="938"/>
      <c r="GD236" s="938"/>
      <c r="GE236" s="938"/>
      <c r="GF236" s="938"/>
      <c r="GG236" s="938"/>
      <c r="GH236" s="938"/>
      <c r="GI236" s="938"/>
      <c r="GJ236" s="938"/>
      <c r="GK236" s="938"/>
      <c r="GL236" s="938"/>
      <c r="GM236" s="938"/>
      <c r="GN236" s="938"/>
      <c r="GO236" s="938"/>
      <c r="GP236" s="938"/>
      <c r="GQ236" s="938"/>
      <c r="GR236" s="938"/>
      <c r="GS236" s="938"/>
      <c r="GT236" s="938"/>
      <c r="GU236" s="938"/>
      <c r="GV236" s="938"/>
      <c r="GW236" s="938"/>
      <c r="GX236" s="938"/>
      <c r="GY236" s="938"/>
      <c r="GZ236" s="938"/>
      <c r="HA236" s="938"/>
      <c r="HB236" s="938"/>
      <c r="HC236" s="938"/>
      <c r="HD236" s="938"/>
      <c r="HE236" s="938"/>
      <c r="HF236" s="938"/>
      <c r="HG236" s="938"/>
      <c r="HH236" s="938"/>
      <c r="HI236" s="938"/>
      <c r="HJ236" s="938"/>
      <c r="HK236" s="938"/>
      <c r="HL236" s="938"/>
      <c r="HM236" s="938"/>
      <c r="HN236" s="938"/>
      <c r="HO236" s="938"/>
      <c r="HP236" s="938"/>
      <c r="HQ236" s="938"/>
      <c r="HR236" s="938"/>
    </row>
    <row r="237" spans="1:226" s="939" customFormat="1" ht="15" hidden="1" customHeight="1">
      <c r="A237" s="1503"/>
      <c r="B237" s="1504"/>
      <c r="C237" s="1506"/>
      <c r="D237" s="1514"/>
      <c r="E237" s="977">
        <v>6059</v>
      </c>
      <c r="F237" s="978">
        <f>SUM(G237:J237)</f>
        <v>0</v>
      </c>
      <c r="G237" s="978"/>
      <c r="H237" s="978"/>
      <c r="I237" s="978"/>
      <c r="J237" s="979"/>
      <c r="K237" s="938"/>
    </row>
    <row r="238" spans="1:226" s="939" customFormat="1" ht="24.95" hidden="1" customHeight="1">
      <c r="A238" s="1503"/>
      <c r="B238" s="1504"/>
      <c r="C238" s="1506" t="s">
        <v>5</v>
      </c>
      <c r="D238" s="1506"/>
      <c r="E238" s="954" t="s">
        <v>937</v>
      </c>
      <c r="F238" s="955">
        <f>SUM(F239,F246)</f>
        <v>0</v>
      </c>
      <c r="G238" s="955">
        <f>SUM(G239,G246)</f>
        <v>0</v>
      </c>
      <c r="H238" s="955">
        <f>SUM(H239,H246)</f>
        <v>0</v>
      </c>
      <c r="I238" s="955">
        <f>SUM(I239,I246)</f>
        <v>0</v>
      </c>
      <c r="J238" s="937">
        <f>SUM(J239,J246)</f>
        <v>0</v>
      </c>
      <c r="K238" s="938"/>
    </row>
    <row r="239" spans="1:226" s="939" customFormat="1" ht="24.95" hidden="1" customHeight="1">
      <c r="A239" s="1507"/>
      <c r="B239" s="1509"/>
      <c r="C239" s="1513"/>
      <c r="D239" s="1513"/>
      <c r="E239" s="957" t="s">
        <v>440</v>
      </c>
      <c r="F239" s="958">
        <f>SUM(F240,F243)</f>
        <v>0</v>
      </c>
      <c r="G239" s="958">
        <f>SUM(G240,G243)</f>
        <v>0</v>
      </c>
      <c r="H239" s="958">
        <f>SUM(H240,H243)</f>
        <v>0</v>
      </c>
      <c r="I239" s="958">
        <f>SUM(I240,I243)</f>
        <v>0</v>
      </c>
      <c r="J239" s="942">
        <f>SUM(J240,J243)</f>
        <v>0</v>
      </c>
      <c r="K239" s="938"/>
      <c r="L239" s="938"/>
      <c r="M239" s="938"/>
      <c r="N239" s="938"/>
      <c r="O239" s="938"/>
      <c r="P239" s="938"/>
      <c r="Q239" s="938"/>
      <c r="R239" s="938"/>
      <c r="S239" s="938"/>
      <c r="T239" s="938"/>
      <c r="U239" s="938"/>
      <c r="V239" s="938"/>
      <c r="W239" s="938"/>
      <c r="X239" s="938"/>
      <c r="Y239" s="938"/>
      <c r="Z239" s="938"/>
      <c r="AA239" s="938"/>
      <c r="AB239" s="938"/>
      <c r="AC239" s="938"/>
      <c r="AD239" s="938"/>
      <c r="AE239" s="938"/>
      <c r="AF239" s="938"/>
      <c r="AG239" s="938"/>
      <c r="AH239" s="938"/>
      <c r="AI239" s="938"/>
      <c r="AJ239" s="938"/>
      <c r="AK239" s="938"/>
      <c r="AL239" s="938"/>
      <c r="AM239" s="938"/>
      <c r="AN239" s="938"/>
      <c r="AO239" s="938"/>
      <c r="AP239" s="938"/>
      <c r="AQ239" s="938"/>
      <c r="AR239" s="938"/>
      <c r="AS239" s="938"/>
      <c r="AT239" s="938"/>
      <c r="AU239" s="938"/>
      <c r="AV239" s="938"/>
      <c r="AW239" s="938"/>
      <c r="AX239" s="938"/>
      <c r="AY239" s="938"/>
      <c r="AZ239" s="938"/>
      <c r="BA239" s="938"/>
      <c r="BB239" s="938"/>
      <c r="BC239" s="938"/>
      <c r="BD239" s="938"/>
      <c r="BE239" s="938"/>
      <c r="BF239" s="938"/>
      <c r="BG239" s="938"/>
      <c r="BH239" s="938"/>
      <c r="BI239" s="938"/>
      <c r="BJ239" s="938"/>
      <c r="BK239" s="938"/>
      <c r="BL239" s="938"/>
      <c r="BM239" s="938"/>
      <c r="BN239" s="938"/>
      <c r="BO239" s="938"/>
      <c r="BP239" s="938"/>
      <c r="BQ239" s="938"/>
      <c r="BR239" s="938"/>
      <c r="BS239" s="938"/>
      <c r="BT239" s="938"/>
      <c r="BU239" s="938"/>
      <c r="BV239" s="938"/>
      <c r="BW239" s="938"/>
      <c r="BX239" s="938"/>
      <c r="BY239" s="938"/>
      <c r="BZ239" s="938"/>
      <c r="CA239" s="938"/>
      <c r="CB239" s="938"/>
      <c r="CC239" s="938"/>
      <c r="CD239" s="938"/>
      <c r="CE239" s="938"/>
      <c r="CF239" s="938"/>
      <c r="CG239" s="938"/>
      <c r="CH239" s="938"/>
      <c r="CI239" s="938"/>
      <c r="CJ239" s="938"/>
      <c r="CK239" s="938"/>
      <c r="CL239" s="938"/>
      <c r="CM239" s="938"/>
      <c r="CN239" s="938"/>
      <c r="CO239" s="938"/>
      <c r="CP239" s="938"/>
      <c r="CQ239" s="938"/>
      <c r="CR239" s="938"/>
      <c r="CS239" s="938"/>
      <c r="CT239" s="938"/>
      <c r="CU239" s="938"/>
      <c r="CV239" s="938"/>
      <c r="CW239" s="938"/>
      <c r="CX239" s="938"/>
      <c r="CY239" s="938"/>
      <c r="CZ239" s="938"/>
      <c r="DA239" s="938"/>
      <c r="DB239" s="938"/>
      <c r="DC239" s="938"/>
      <c r="DD239" s="938"/>
      <c r="DE239" s="938"/>
      <c r="DF239" s="938"/>
      <c r="DG239" s="938"/>
      <c r="DH239" s="938"/>
      <c r="DI239" s="938"/>
      <c r="DJ239" s="938"/>
      <c r="DK239" s="938"/>
      <c r="DL239" s="938"/>
      <c r="DM239" s="938"/>
      <c r="DN239" s="938"/>
      <c r="DO239" s="938"/>
      <c r="DP239" s="938"/>
      <c r="DQ239" s="938"/>
      <c r="DR239" s="938"/>
      <c r="DS239" s="938"/>
      <c r="DT239" s="938"/>
      <c r="DU239" s="938"/>
      <c r="DV239" s="938"/>
      <c r="DW239" s="938"/>
      <c r="DX239" s="938"/>
      <c r="DY239" s="938"/>
      <c r="DZ239" s="938"/>
      <c r="EA239" s="938"/>
      <c r="EB239" s="938"/>
      <c r="EC239" s="938"/>
      <c r="ED239" s="938"/>
      <c r="EE239" s="938"/>
      <c r="EF239" s="938"/>
      <c r="EG239" s="938"/>
      <c r="EH239" s="938"/>
      <c r="EI239" s="938"/>
      <c r="EJ239" s="938"/>
      <c r="EK239" s="938"/>
      <c r="EL239" s="938"/>
      <c r="EM239" s="938"/>
      <c r="EN239" s="938"/>
      <c r="EO239" s="938"/>
      <c r="EP239" s="938"/>
      <c r="EQ239" s="938"/>
      <c r="ER239" s="938"/>
      <c r="ES239" s="938"/>
      <c r="ET239" s="938"/>
      <c r="EU239" s="938"/>
      <c r="EV239" s="938"/>
      <c r="EW239" s="938"/>
      <c r="EX239" s="938"/>
      <c r="EY239" s="938"/>
      <c r="EZ239" s="938"/>
      <c r="FA239" s="938"/>
      <c r="FB239" s="938"/>
      <c r="FC239" s="938"/>
      <c r="FD239" s="938"/>
      <c r="FE239" s="938"/>
      <c r="FF239" s="938"/>
      <c r="FG239" s="938"/>
      <c r="FH239" s="938"/>
      <c r="FI239" s="938"/>
      <c r="FJ239" s="938"/>
      <c r="FK239" s="938"/>
      <c r="FL239" s="938"/>
      <c r="FM239" s="938"/>
      <c r="FN239" s="938"/>
      <c r="FO239" s="938"/>
      <c r="FP239" s="938"/>
      <c r="FQ239" s="938"/>
      <c r="FR239" s="938"/>
      <c r="FS239" s="938"/>
      <c r="FT239" s="938"/>
      <c r="FU239" s="938"/>
      <c r="FV239" s="938"/>
      <c r="FW239" s="938"/>
      <c r="FX239" s="938"/>
      <c r="FY239" s="938"/>
      <c r="FZ239" s="938"/>
      <c r="GA239" s="938"/>
      <c r="GB239" s="938"/>
      <c r="GC239" s="938"/>
      <c r="GD239" s="938"/>
      <c r="GE239" s="938"/>
      <c r="GF239" s="938"/>
      <c r="GG239" s="938"/>
      <c r="GH239" s="938"/>
      <c r="GI239" s="938"/>
      <c r="GJ239" s="938"/>
      <c r="GK239" s="938"/>
      <c r="GL239" s="938"/>
      <c r="GM239" s="938"/>
      <c r="GN239" s="938"/>
      <c r="GO239" s="938"/>
      <c r="GP239" s="938"/>
      <c r="GQ239" s="938"/>
      <c r="GR239" s="938"/>
      <c r="GS239" s="938"/>
      <c r="GT239" s="938"/>
      <c r="GU239" s="938"/>
      <c r="GV239" s="938"/>
      <c r="GW239" s="938"/>
      <c r="GX239" s="938"/>
      <c r="GY239" s="938"/>
      <c r="GZ239" s="938"/>
      <c r="HA239" s="938"/>
      <c r="HB239" s="938"/>
      <c r="HC239" s="938"/>
      <c r="HD239" s="938"/>
      <c r="HE239" s="938"/>
      <c r="HF239" s="938"/>
      <c r="HG239" s="938"/>
      <c r="HH239" s="938"/>
      <c r="HI239" s="938"/>
      <c r="HJ239" s="938"/>
      <c r="HK239" s="938"/>
      <c r="HL239" s="938"/>
      <c r="HM239" s="938"/>
      <c r="HN239" s="938"/>
      <c r="HO239" s="938"/>
      <c r="HP239" s="938"/>
      <c r="HQ239" s="938"/>
      <c r="HR239" s="938"/>
    </row>
    <row r="240" spans="1:226" s="939" customFormat="1" ht="24.95" hidden="1" customHeight="1">
      <c r="A240" s="1507"/>
      <c r="B240" s="1509"/>
      <c r="C240" s="1513"/>
      <c r="D240" s="1513"/>
      <c r="E240" s="960" t="s">
        <v>944</v>
      </c>
      <c r="F240" s="961">
        <f>SUM(F241:F242)</f>
        <v>0</v>
      </c>
      <c r="G240" s="961">
        <f>SUM(G241:G242)</f>
        <v>0</v>
      </c>
      <c r="H240" s="961">
        <f>SUM(H241:H242)</f>
        <v>0</v>
      </c>
      <c r="I240" s="961">
        <f>SUM(I241:I242)</f>
        <v>0</v>
      </c>
      <c r="J240" s="951">
        <f>SUM(J241:J242)</f>
        <v>0</v>
      </c>
      <c r="K240" s="938"/>
    </row>
    <row r="241" spans="1:11" s="939" customFormat="1" ht="15" hidden="1" customHeight="1">
      <c r="A241" s="1507"/>
      <c r="B241" s="1509"/>
      <c r="C241" s="1513"/>
      <c r="D241" s="1513"/>
      <c r="E241" s="963"/>
      <c r="F241" s="964">
        <f>SUM(G241:J241)</f>
        <v>0</v>
      </c>
      <c r="G241" s="964"/>
      <c r="H241" s="964"/>
      <c r="I241" s="964"/>
      <c r="J241" s="946"/>
      <c r="K241" s="938"/>
    </row>
    <row r="242" spans="1:11" s="939" customFormat="1" ht="15" hidden="1" customHeight="1">
      <c r="A242" s="1507"/>
      <c r="B242" s="1509"/>
      <c r="C242" s="1513"/>
      <c r="D242" s="1513"/>
      <c r="E242" s="963"/>
      <c r="F242" s="964">
        <f>SUM(G242:J242)</f>
        <v>0</v>
      </c>
      <c r="G242" s="964"/>
      <c r="H242" s="964"/>
      <c r="I242" s="964"/>
      <c r="J242" s="946"/>
      <c r="K242" s="938"/>
    </row>
    <row r="243" spans="1:11" s="939" customFormat="1" ht="24.95" hidden="1" customHeight="1">
      <c r="A243" s="1507"/>
      <c r="B243" s="1509"/>
      <c r="C243" s="1513"/>
      <c r="D243" s="1513"/>
      <c r="E243" s="960" t="s">
        <v>945</v>
      </c>
      <c r="F243" s="961">
        <f>SUM(F244:F245)</f>
        <v>0</v>
      </c>
      <c r="G243" s="961">
        <f>SUM(G244:G245)</f>
        <v>0</v>
      </c>
      <c r="H243" s="961">
        <f>SUM(H244:H245)</f>
        <v>0</v>
      </c>
      <c r="I243" s="961">
        <f>SUM(I244:I245)</f>
        <v>0</v>
      </c>
      <c r="J243" s="951">
        <f>SUM(J244:J245)</f>
        <v>0</v>
      </c>
      <c r="K243" s="938"/>
    </row>
    <row r="244" spans="1:11" s="939" customFormat="1" ht="15" hidden="1" customHeight="1">
      <c r="A244" s="1507"/>
      <c r="B244" s="1509"/>
      <c r="C244" s="1513"/>
      <c r="D244" s="1513"/>
      <c r="E244" s="963"/>
      <c r="F244" s="964">
        <f>SUM(G244:J244)</f>
        <v>0</v>
      </c>
      <c r="G244" s="964"/>
      <c r="H244" s="964"/>
      <c r="I244" s="964"/>
      <c r="J244" s="946"/>
      <c r="K244" s="938"/>
    </row>
    <row r="245" spans="1:11" s="939" customFormat="1" ht="15" hidden="1" customHeight="1">
      <c r="A245" s="1507"/>
      <c r="B245" s="1509"/>
      <c r="C245" s="1513"/>
      <c r="D245" s="1513"/>
      <c r="E245" s="963"/>
      <c r="F245" s="964">
        <f>SUM(G245:J245)</f>
        <v>0</v>
      </c>
      <c r="G245" s="964"/>
      <c r="H245" s="964"/>
      <c r="I245" s="964"/>
      <c r="J245" s="946"/>
      <c r="K245" s="938"/>
    </row>
    <row r="246" spans="1:11" s="939" customFormat="1" ht="24.95" hidden="1" customHeight="1">
      <c r="A246" s="1507"/>
      <c r="B246" s="1509"/>
      <c r="C246" s="1513"/>
      <c r="D246" s="1513"/>
      <c r="E246" s="966" t="s">
        <v>939</v>
      </c>
      <c r="F246" s="958">
        <f>SUM(F247:F250)</f>
        <v>0</v>
      </c>
      <c r="G246" s="958">
        <f>SUM(G247:G250)</f>
        <v>0</v>
      </c>
      <c r="H246" s="958">
        <f>SUM(H247:H250)</f>
        <v>0</v>
      </c>
      <c r="I246" s="958">
        <f>SUM(I247:I250)</f>
        <v>0</v>
      </c>
      <c r="J246" s="942">
        <f>SUM(J247:J250)</f>
        <v>0</v>
      </c>
      <c r="K246" s="938"/>
    </row>
    <row r="247" spans="1:11" s="939" customFormat="1" ht="15" hidden="1" customHeight="1">
      <c r="A247" s="1507"/>
      <c r="B247" s="1509"/>
      <c r="C247" s="1513"/>
      <c r="D247" s="1506" t="s">
        <v>277</v>
      </c>
      <c r="E247" s="963" t="s">
        <v>268</v>
      </c>
      <c r="F247" s="964">
        <f>SUM(G247:J247)</f>
        <v>0</v>
      </c>
      <c r="G247" s="964"/>
      <c r="H247" s="964"/>
      <c r="I247" s="964"/>
      <c r="J247" s="946"/>
      <c r="K247" s="938"/>
    </row>
    <row r="248" spans="1:11" s="939" customFormat="1" ht="15" hidden="1" customHeight="1">
      <c r="A248" s="1507"/>
      <c r="B248" s="1509"/>
      <c r="C248" s="1513"/>
      <c r="D248" s="1513"/>
      <c r="E248" s="1022" t="s">
        <v>282</v>
      </c>
      <c r="F248" s="964">
        <f>SUM(G248:J248)</f>
        <v>0</v>
      </c>
      <c r="G248" s="978"/>
      <c r="H248" s="978"/>
      <c r="I248" s="978"/>
      <c r="J248" s="979"/>
      <c r="K248" s="938"/>
    </row>
    <row r="249" spans="1:11" s="939" customFormat="1" ht="15" hidden="1" customHeight="1">
      <c r="A249" s="1507"/>
      <c r="B249" s="1509"/>
      <c r="C249" s="1513"/>
      <c r="D249" s="1514"/>
      <c r="E249" s="975">
        <v>6059</v>
      </c>
      <c r="F249" s="964">
        <f>SUM(G249:J249)</f>
        <v>0</v>
      </c>
      <c r="G249" s="964"/>
      <c r="H249" s="964"/>
      <c r="I249" s="964"/>
      <c r="J249" s="946"/>
      <c r="K249" s="938"/>
    </row>
    <row r="250" spans="1:11" s="939" customFormat="1" ht="15" hidden="1" customHeight="1" thickBot="1">
      <c r="A250" s="1508"/>
      <c r="B250" s="1510"/>
      <c r="C250" s="1514"/>
      <c r="D250" s="963" t="s">
        <v>330</v>
      </c>
      <c r="E250" s="975">
        <v>6050</v>
      </c>
      <c r="F250" s="964">
        <f>SUM(G250:J250)</f>
        <v>0</v>
      </c>
      <c r="G250" s="964"/>
      <c r="H250" s="964"/>
      <c r="I250" s="964"/>
      <c r="J250" s="946"/>
      <c r="K250" s="938"/>
    </row>
    <row r="251" spans="1:11" s="939" customFormat="1" ht="20.100000000000001" customHeight="1" thickBot="1">
      <c r="A251" s="931" t="s">
        <v>982</v>
      </c>
      <c r="B251" s="1515" t="s">
        <v>998</v>
      </c>
      <c r="C251" s="1515"/>
      <c r="D251" s="1515"/>
      <c r="E251" s="1515"/>
      <c r="F251" s="980">
        <f>F253+F289+F309+F357</f>
        <v>12352499</v>
      </c>
      <c r="G251" s="980">
        <f>G253+G289+G309+G357</f>
        <v>1852876</v>
      </c>
      <c r="H251" s="980">
        <f>H253+H289+H309+H357</f>
        <v>0</v>
      </c>
      <c r="I251" s="980">
        <f>I253+I289+I309+I357</f>
        <v>10499623</v>
      </c>
      <c r="J251" s="981">
        <f>J253+J289+J309+J357</f>
        <v>0</v>
      </c>
      <c r="K251" s="938"/>
    </row>
    <row r="252" spans="1:11" s="939" customFormat="1" ht="15.75" customHeight="1">
      <c r="A252" s="1516"/>
      <c r="B252" s="1517"/>
      <c r="C252" s="1517"/>
      <c r="D252" s="1517"/>
      <c r="E252" s="1517"/>
      <c r="F252" s="1517"/>
      <c r="G252" s="1517"/>
      <c r="H252" s="1517"/>
      <c r="I252" s="1517"/>
      <c r="J252" s="1518"/>
      <c r="K252" s="938"/>
    </row>
    <row r="253" spans="1:11" s="939" customFormat="1" ht="24.95" hidden="1" customHeight="1">
      <c r="A253" s="1499"/>
      <c r="B253" s="1500"/>
      <c r="C253" s="1550"/>
      <c r="D253" s="1551"/>
      <c r="E253" s="954" t="s">
        <v>937</v>
      </c>
      <c r="F253" s="955">
        <f>SUM(F254,F282)</f>
        <v>0</v>
      </c>
      <c r="G253" s="955">
        <f>SUM(G254,G282)</f>
        <v>0</v>
      </c>
      <c r="H253" s="955">
        <f>SUM(H254,H282)</f>
        <v>0</v>
      </c>
      <c r="I253" s="955">
        <f>SUM(I254,I282)</f>
        <v>0</v>
      </c>
      <c r="J253" s="937">
        <f>SUM(J254,J282)</f>
        <v>0</v>
      </c>
      <c r="K253" s="938"/>
    </row>
    <row r="254" spans="1:11" s="939" customFormat="1" ht="24.95" hidden="1" customHeight="1">
      <c r="A254" s="1499"/>
      <c r="B254" s="1500"/>
      <c r="C254" s="1550"/>
      <c r="D254" s="1551"/>
      <c r="E254" s="957" t="s">
        <v>440</v>
      </c>
      <c r="F254" s="958">
        <f>SUM(F255:F281)</f>
        <v>0</v>
      </c>
      <c r="G254" s="958">
        <f>SUM(G255:G281)</f>
        <v>0</v>
      </c>
      <c r="H254" s="958">
        <f>SUM(H255:H281)</f>
        <v>0</v>
      </c>
      <c r="I254" s="958">
        <f>SUM(I255:I281)</f>
        <v>0</v>
      </c>
      <c r="J254" s="942">
        <f>SUM(J255:J281)</f>
        <v>0</v>
      </c>
      <c r="K254" s="938"/>
    </row>
    <row r="255" spans="1:11" s="939" customFormat="1" ht="15" hidden="1" customHeight="1">
      <c r="A255" s="1499"/>
      <c r="B255" s="1500"/>
      <c r="C255" s="1505">
        <v>150</v>
      </c>
      <c r="D255" s="1506" t="s">
        <v>346</v>
      </c>
      <c r="E255" s="1022" t="s">
        <v>348</v>
      </c>
      <c r="F255" s="964">
        <f t="shared" ref="F255:F281" si="10">SUM(G255:J255)</f>
        <v>0</v>
      </c>
      <c r="G255" s="964"/>
      <c r="H255" s="964"/>
      <c r="I255" s="964"/>
      <c r="J255" s="946"/>
      <c r="K255" s="938"/>
    </row>
    <row r="256" spans="1:11" s="939" customFormat="1" ht="15" hidden="1" customHeight="1">
      <c r="A256" s="1499"/>
      <c r="B256" s="1500"/>
      <c r="C256" s="1511"/>
      <c r="D256" s="1514"/>
      <c r="E256" s="1022" t="s">
        <v>977</v>
      </c>
      <c r="F256" s="964">
        <f t="shared" si="10"/>
        <v>0</v>
      </c>
      <c r="G256" s="964"/>
      <c r="H256" s="964"/>
      <c r="I256" s="964"/>
      <c r="J256" s="946"/>
      <c r="K256" s="938"/>
    </row>
    <row r="257" spans="1:11" s="939" customFormat="1" ht="15" hidden="1" customHeight="1">
      <c r="A257" s="1499"/>
      <c r="B257" s="1500"/>
      <c r="C257" s="1511"/>
      <c r="D257" s="1506" t="s">
        <v>351</v>
      </c>
      <c r="E257" s="1022" t="s">
        <v>348</v>
      </c>
      <c r="F257" s="964">
        <f t="shared" si="10"/>
        <v>0</v>
      </c>
      <c r="G257" s="964"/>
      <c r="H257" s="964"/>
      <c r="I257" s="964"/>
      <c r="J257" s="946"/>
      <c r="K257" s="938"/>
    </row>
    <row r="258" spans="1:11" s="939" customFormat="1" ht="15" hidden="1" customHeight="1">
      <c r="A258" s="1499"/>
      <c r="B258" s="1500"/>
      <c r="C258" s="1511"/>
      <c r="D258" s="1513"/>
      <c r="E258" s="1022" t="s">
        <v>954</v>
      </c>
      <c r="F258" s="964">
        <f t="shared" si="10"/>
        <v>0</v>
      </c>
      <c r="G258" s="964"/>
      <c r="H258" s="964"/>
      <c r="I258" s="964"/>
      <c r="J258" s="946"/>
      <c r="K258" s="938"/>
    </row>
    <row r="259" spans="1:11" s="939" customFormat="1" ht="15" hidden="1" customHeight="1">
      <c r="A259" s="1499"/>
      <c r="B259" s="1500"/>
      <c r="C259" s="1511"/>
      <c r="D259" s="1513"/>
      <c r="E259" s="1022" t="s">
        <v>977</v>
      </c>
      <c r="F259" s="964">
        <f t="shared" si="10"/>
        <v>0</v>
      </c>
      <c r="G259" s="964"/>
      <c r="H259" s="964"/>
      <c r="I259" s="964"/>
      <c r="J259" s="946"/>
      <c r="K259" s="938"/>
    </row>
    <row r="260" spans="1:11" s="939" customFormat="1" ht="15" hidden="1" customHeight="1">
      <c r="A260" s="1499"/>
      <c r="B260" s="1500"/>
      <c r="C260" s="1511"/>
      <c r="D260" s="1513"/>
      <c r="E260" s="1022" t="s">
        <v>955</v>
      </c>
      <c r="F260" s="964">
        <f t="shared" si="10"/>
        <v>0</v>
      </c>
      <c r="G260" s="964"/>
      <c r="H260" s="964"/>
      <c r="I260" s="964"/>
      <c r="J260" s="946"/>
      <c r="K260" s="938"/>
    </row>
    <row r="261" spans="1:11" s="939" customFormat="1" ht="15" hidden="1" customHeight="1">
      <c r="A261" s="1499"/>
      <c r="B261" s="1500"/>
      <c r="C261" s="1512"/>
      <c r="D261" s="1514"/>
      <c r="E261" s="1022" t="s">
        <v>1021</v>
      </c>
      <c r="F261" s="964">
        <f t="shared" si="10"/>
        <v>0</v>
      </c>
      <c r="G261" s="964"/>
      <c r="H261" s="964"/>
      <c r="I261" s="964"/>
      <c r="J261" s="946"/>
      <c r="K261" s="938"/>
    </row>
    <row r="262" spans="1:11" s="939" customFormat="1" ht="15" hidden="1" customHeight="1">
      <c r="A262" s="1499"/>
      <c r="B262" s="1500"/>
      <c r="C262" s="1505">
        <v>801</v>
      </c>
      <c r="D262" s="963" t="s">
        <v>521</v>
      </c>
      <c r="E262" s="1022" t="s">
        <v>348</v>
      </c>
      <c r="F262" s="964">
        <f t="shared" si="10"/>
        <v>0</v>
      </c>
      <c r="G262" s="964"/>
      <c r="H262" s="964"/>
      <c r="I262" s="964"/>
      <c r="J262" s="946"/>
      <c r="K262" s="938"/>
    </row>
    <row r="263" spans="1:11" s="939" customFormat="1" ht="15" hidden="1" customHeight="1">
      <c r="A263" s="1499"/>
      <c r="B263" s="1500"/>
      <c r="C263" s="1511"/>
      <c r="D263" s="1506" t="s">
        <v>531</v>
      </c>
      <c r="E263" s="1022" t="s">
        <v>348</v>
      </c>
      <c r="F263" s="964">
        <f t="shared" si="10"/>
        <v>0</v>
      </c>
      <c r="G263" s="964"/>
      <c r="H263" s="964"/>
      <c r="I263" s="964"/>
      <c r="J263" s="946"/>
      <c r="K263" s="938"/>
    </row>
    <row r="264" spans="1:11" s="939" customFormat="1" ht="15" hidden="1" customHeight="1">
      <c r="A264" s="1499"/>
      <c r="B264" s="1500"/>
      <c r="C264" s="1511"/>
      <c r="D264" s="1513"/>
      <c r="E264" s="1022" t="s">
        <v>954</v>
      </c>
      <c r="F264" s="964">
        <f t="shared" si="10"/>
        <v>0</v>
      </c>
      <c r="G264" s="964"/>
      <c r="H264" s="964"/>
      <c r="I264" s="964"/>
      <c r="J264" s="946"/>
      <c r="K264" s="938"/>
    </row>
    <row r="265" spans="1:11" s="939" customFormat="1" ht="15" hidden="1" customHeight="1">
      <c r="A265" s="1499"/>
      <c r="B265" s="1500"/>
      <c r="C265" s="1511"/>
      <c r="D265" s="1513"/>
      <c r="E265" s="1022" t="s">
        <v>977</v>
      </c>
      <c r="F265" s="964">
        <f t="shared" si="10"/>
        <v>0</v>
      </c>
      <c r="G265" s="964"/>
      <c r="H265" s="964"/>
      <c r="I265" s="964"/>
      <c r="J265" s="946"/>
      <c r="K265" s="938"/>
    </row>
    <row r="266" spans="1:11" s="939" customFormat="1" ht="15" hidden="1" customHeight="1">
      <c r="A266" s="1499"/>
      <c r="B266" s="1500"/>
      <c r="C266" s="1511"/>
      <c r="D266" s="1513"/>
      <c r="E266" s="1022" t="s">
        <v>955</v>
      </c>
      <c r="F266" s="964">
        <f t="shared" si="10"/>
        <v>0</v>
      </c>
      <c r="G266" s="964"/>
      <c r="H266" s="964"/>
      <c r="I266" s="964"/>
      <c r="J266" s="946"/>
      <c r="K266" s="938"/>
    </row>
    <row r="267" spans="1:11" s="939" customFormat="1" ht="15" hidden="1" customHeight="1">
      <c r="A267" s="1499"/>
      <c r="B267" s="1500"/>
      <c r="C267" s="1512"/>
      <c r="D267" s="1514"/>
      <c r="E267" s="1022" t="s">
        <v>1021</v>
      </c>
      <c r="F267" s="964">
        <f t="shared" si="10"/>
        <v>0</v>
      </c>
      <c r="G267" s="964"/>
      <c r="H267" s="964"/>
      <c r="I267" s="964"/>
      <c r="J267" s="946"/>
      <c r="K267" s="938"/>
    </row>
    <row r="268" spans="1:11" s="939" customFormat="1" ht="15" hidden="1" customHeight="1">
      <c r="A268" s="1499"/>
      <c r="B268" s="1500"/>
      <c r="C268" s="1505">
        <v>852</v>
      </c>
      <c r="D268" s="1506" t="s">
        <v>584</v>
      </c>
      <c r="E268" s="1022" t="s">
        <v>348</v>
      </c>
      <c r="F268" s="964">
        <f t="shared" si="10"/>
        <v>0</v>
      </c>
      <c r="G268" s="964"/>
      <c r="H268" s="964"/>
      <c r="I268" s="964"/>
      <c r="J268" s="946"/>
      <c r="K268" s="938"/>
    </row>
    <row r="269" spans="1:11" s="939" customFormat="1" ht="15" hidden="1" customHeight="1">
      <c r="A269" s="1499"/>
      <c r="B269" s="1500"/>
      <c r="C269" s="1511"/>
      <c r="D269" s="1514"/>
      <c r="E269" s="1022" t="s">
        <v>977</v>
      </c>
      <c r="F269" s="964">
        <f t="shared" si="10"/>
        <v>0</v>
      </c>
      <c r="G269" s="964"/>
      <c r="H269" s="964"/>
      <c r="I269" s="964"/>
      <c r="J269" s="946"/>
      <c r="K269" s="938"/>
    </row>
    <row r="270" spans="1:11" s="939" customFormat="1" ht="15" hidden="1" customHeight="1">
      <c r="A270" s="1499"/>
      <c r="B270" s="1500"/>
      <c r="C270" s="1511"/>
      <c r="D270" s="1506" t="s">
        <v>586</v>
      </c>
      <c r="E270" s="1022" t="s">
        <v>348</v>
      </c>
      <c r="F270" s="964">
        <f t="shared" si="10"/>
        <v>0</v>
      </c>
      <c r="G270" s="964"/>
      <c r="H270" s="964"/>
      <c r="I270" s="964"/>
      <c r="J270" s="946"/>
      <c r="K270" s="938"/>
    </row>
    <row r="271" spans="1:11" s="939" customFormat="1" ht="15" hidden="1" customHeight="1">
      <c r="A271" s="1499"/>
      <c r="B271" s="1500"/>
      <c r="C271" s="1511"/>
      <c r="D271" s="1513"/>
      <c r="E271" s="1022" t="s">
        <v>977</v>
      </c>
      <c r="F271" s="964">
        <f t="shared" si="10"/>
        <v>0</v>
      </c>
      <c r="G271" s="964"/>
      <c r="H271" s="964"/>
      <c r="I271" s="964"/>
      <c r="J271" s="946"/>
      <c r="K271" s="938"/>
    </row>
    <row r="272" spans="1:11" s="939" customFormat="1" ht="15" hidden="1" customHeight="1">
      <c r="A272" s="1499"/>
      <c r="B272" s="1500"/>
      <c r="C272" s="1511"/>
      <c r="D272" s="1514"/>
      <c r="E272" s="1022" t="s">
        <v>955</v>
      </c>
      <c r="F272" s="964">
        <f t="shared" si="10"/>
        <v>0</v>
      </c>
      <c r="G272" s="964"/>
      <c r="H272" s="964"/>
      <c r="I272" s="964"/>
      <c r="J272" s="946"/>
      <c r="K272" s="938"/>
    </row>
    <row r="273" spans="1:11" s="939" customFormat="1" ht="15" hidden="1" customHeight="1">
      <c r="A273" s="1499"/>
      <c r="B273" s="1500"/>
      <c r="C273" s="1511"/>
      <c r="D273" s="1506" t="s">
        <v>589</v>
      </c>
      <c r="E273" s="1022" t="s">
        <v>348</v>
      </c>
      <c r="F273" s="964">
        <f t="shared" si="10"/>
        <v>0</v>
      </c>
      <c r="G273" s="964"/>
      <c r="H273" s="964"/>
      <c r="I273" s="964"/>
      <c r="J273" s="946"/>
      <c r="K273" s="938"/>
    </row>
    <row r="274" spans="1:11" s="939" customFormat="1" ht="15" hidden="1" customHeight="1">
      <c r="A274" s="1499"/>
      <c r="B274" s="1500"/>
      <c r="C274" s="1511"/>
      <c r="D274" s="1513"/>
      <c r="E274" s="1022" t="s">
        <v>977</v>
      </c>
      <c r="F274" s="964">
        <f t="shared" si="10"/>
        <v>0</v>
      </c>
      <c r="G274" s="964"/>
      <c r="H274" s="964"/>
      <c r="I274" s="964"/>
      <c r="J274" s="946"/>
      <c r="K274" s="938"/>
    </row>
    <row r="275" spans="1:11" s="939" customFormat="1" ht="15" hidden="1" customHeight="1">
      <c r="A275" s="1499"/>
      <c r="B275" s="1500"/>
      <c r="C275" s="1512"/>
      <c r="D275" s="1514"/>
      <c r="E275" s="1022" t="s">
        <v>955</v>
      </c>
      <c r="F275" s="964">
        <f t="shared" si="10"/>
        <v>0</v>
      </c>
      <c r="G275" s="964"/>
      <c r="H275" s="964"/>
      <c r="I275" s="964"/>
      <c r="J275" s="946"/>
      <c r="K275" s="938"/>
    </row>
    <row r="276" spans="1:11" s="939" customFormat="1" ht="15" hidden="1" customHeight="1">
      <c r="A276" s="1499"/>
      <c r="B276" s="1500"/>
      <c r="C276" s="1505">
        <v>853</v>
      </c>
      <c r="D276" s="1506" t="s">
        <v>618</v>
      </c>
      <c r="E276" s="1022" t="s">
        <v>348</v>
      </c>
      <c r="F276" s="964">
        <f t="shared" si="10"/>
        <v>0</v>
      </c>
      <c r="G276" s="964"/>
      <c r="H276" s="964"/>
      <c r="I276" s="964"/>
      <c r="J276" s="946"/>
      <c r="K276" s="938"/>
    </row>
    <row r="277" spans="1:11" s="939" customFormat="1" ht="15" hidden="1" customHeight="1">
      <c r="A277" s="1499"/>
      <c r="B277" s="1500"/>
      <c r="C277" s="1512"/>
      <c r="D277" s="1514"/>
      <c r="E277" s="1022" t="s">
        <v>977</v>
      </c>
      <c r="F277" s="964">
        <f t="shared" si="10"/>
        <v>0</v>
      </c>
      <c r="G277" s="964"/>
      <c r="H277" s="964"/>
      <c r="I277" s="964"/>
      <c r="J277" s="946"/>
      <c r="K277" s="938"/>
    </row>
    <row r="278" spans="1:11" s="939" customFormat="1" ht="15" hidden="1" customHeight="1">
      <c r="A278" s="1499"/>
      <c r="B278" s="1500"/>
      <c r="C278" s="1547">
        <v>854</v>
      </c>
      <c r="D278" s="1502" t="s">
        <v>631</v>
      </c>
      <c r="E278" s="1022" t="s">
        <v>348</v>
      </c>
      <c r="F278" s="964">
        <f t="shared" si="10"/>
        <v>0</v>
      </c>
      <c r="G278" s="964"/>
      <c r="H278" s="964"/>
      <c r="I278" s="964"/>
      <c r="J278" s="946"/>
      <c r="K278" s="938"/>
    </row>
    <row r="279" spans="1:11" s="939" customFormat="1" ht="15" hidden="1" customHeight="1">
      <c r="A279" s="1499"/>
      <c r="B279" s="1500"/>
      <c r="C279" s="1548"/>
      <c r="D279" s="1502"/>
      <c r="E279" s="1022" t="s">
        <v>977</v>
      </c>
      <c r="F279" s="964">
        <f t="shared" si="10"/>
        <v>0</v>
      </c>
      <c r="G279" s="964"/>
      <c r="H279" s="964"/>
      <c r="I279" s="964"/>
      <c r="J279" s="946"/>
      <c r="K279" s="938"/>
    </row>
    <row r="280" spans="1:11" s="939" customFormat="1" ht="15" hidden="1" customHeight="1">
      <c r="A280" s="1499"/>
      <c r="B280" s="1500"/>
      <c r="C280" s="1548"/>
      <c r="D280" s="1502"/>
      <c r="E280" s="1022" t="s">
        <v>955</v>
      </c>
      <c r="F280" s="964">
        <f t="shared" si="10"/>
        <v>0</v>
      </c>
      <c r="G280" s="964"/>
      <c r="H280" s="964"/>
      <c r="I280" s="964"/>
      <c r="J280" s="946"/>
      <c r="K280" s="938"/>
    </row>
    <row r="281" spans="1:11" s="939" customFormat="1" ht="15" hidden="1" customHeight="1">
      <c r="A281" s="1499"/>
      <c r="B281" s="1500"/>
      <c r="C281" s="1549"/>
      <c r="D281" s="1502"/>
      <c r="E281" s="1022" t="s">
        <v>1021</v>
      </c>
      <c r="F281" s="964">
        <f t="shared" si="10"/>
        <v>0</v>
      </c>
      <c r="G281" s="964"/>
      <c r="H281" s="964"/>
      <c r="I281" s="964"/>
      <c r="J281" s="946"/>
      <c r="K281" s="938"/>
    </row>
    <row r="282" spans="1:11" s="939" customFormat="1" ht="24.95" hidden="1" customHeight="1">
      <c r="A282" s="1499"/>
      <c r="B282" s="1500"/>
      <c r="C282" s="1550"/>
      <c r="D282" s="1551"/>
      <c r="E282" s="966" t="s">
        <v>939</v>
      </c>
      <c r="F282" s="958">
        <f>SUM(F283:F288)</f>
        <v>0</v>
      </c>
      <c r="G282" s="958">
        <f>SUM(G283:G288)</f>
        <v>0</v>
      </c>
      <c r="H282" s="958">
        <f>SUM(H283:H288)</f>
        <v>0</v>
      </c>
      <c r="I282" s="958">
        <f>SUM(I283:I288)</f>
        <v>0</v>
      </c>
      <c r="J282" s="942">
        <f>SUM(J283:J288)</f>
        <v>0</v>
      </c>
      <c r="K282" s="938"/>
    </row>
    <row r="283" spans="1:11" s="939" customFormat="1" ht="15" hidden="1" customHeight="1">
      <c r="A283" s="1499"/>
      <c r="B283" s="1500"/>
      <c r="C283" s="1505">
        <v>150</v>
      </c>
      <c r="D283" s="963" t="s">
        <v>346</v>
      </c>
      <c r="E283" s="1022" t="s">
        <v>350</v>
      </c>
      <c r="F283" s="964">
        <f t="shared" ref="F283:F288" si="11">SUM(G283:J283)</f>
        <v>0</v>
      </c>
      <c r="G283" s="964"/>
      <c r="H283" s="964"/>
      <c r="I283" s="964"/>
      <c r="J283" s="946"/>
      <c r="K283" s="938"/>
    </row>
    <row r="284" spans="1:11" s="939" customFormat="1" ht="15" hidden="1" customHeight="1">
      <c r="A284" s="1499"/>
      <c r="B284" s="1500"/>
      <c r="C284" s="1512"/>
      <c r="D284" s="963" t="s">
        <v>351</v>
      </c>
      <c r="E284" s="1022" t="s">
        <v>350</v>
      </c>
      <c r="F284" s="964">
        <f t="shared" si="11"/>
        <v>0</v>
      </c>
      <c r="G284" s="964"/>
      <c r="H284" s="964"/>
      <c r="I284" s="964"/>
      <c r="J284" s="946"/>
      <c r="K284" s="938"/>
    </row>
    <row r="285" spans="1:11" s="939" customFormat="1" ht="15" hidden="1" customHeight="1">
      <c r="A285" s="1499"/>
      <c r="B285" s="1500"/>
      <c r="C285" s="986">
        <v>801</v>
      </c>
      <c r="D285" s="963" t="s">
        <v>531</v>
      </c>
      <c r="E285" s="1022" t="s">
        <v>350</v>
      </c>
      <c r="F285" s="964">
        <f t="shared" si="11"/>
        <v>0</v>
      </c>
      <c r="G285" s="964"/>
      <c r="H285" s="964"/>
      <c r="I285" s="964"/>
      <c r="J285" s="946"/>
      <c r="K285" s="938"/>
    </row>
    <row r="286" spans="1:11" s="939" customFormat="1" ht="15" hidden="1" customHeight="1">
      <c r="A286" s="1499"/>
      <c r="B286" s="1500"/>
      <c r="C286" s="986">
        <v>853</v>
      </c>
      <c r="D286" s="963" t="s">
        <v>618</v>
      </c>
      <c r="E286" s="1022" t="s">
        <v>940</v>
      </c>
      <c r="F286" s="964">
        <f t="shared" si="11"/>
        <v>0</v>
      </c>
      <c r="G286" s="964"/>
      <c r="H286" s="964"/>
      <c r="I286" s="964"/>
      <c r="J286" s="946"/>
      <c r="K286" s="938"/>
    </row>
    <row r="287" spans="1:11" s="939" customFormat="1" ht="15" hidden="1" customHeight="1">
      <c r="A287" s="1499"/>
      <c r="B287" s="1500"/>
      <c r="C287" s="1505">
        <v>854</v>
      </c>
      <c r="D287" s="1506" t="s">
        <v>631</v>
      </c>
      <c r="E287" s="1022" t="s">
        <v>940</v>
      </c>
      <c r="F287" s="964">
        <f t="shared" si="11"/>
        <v>0</v>
      </c>
      <c r="G287" s="964"/>
      <c r="H287" s="964"/>
      <c r="I287" s="964"/>
      <c r="J287" s="946"/>
      <c r="K287" s="938"/>
    </row>
    <row r="288" spans="1:11" s="939" customFormat="1" ht="15" hidden="1" customHeight="1">
      <c r="A288" s="1499"/>
      <c r="B288" s="1500"/>
      <c r="C288" s="1512"/>
      <c r="D288" s="1514"/>
      <c r="E288" s="1022" t="s">
        <v>350</v>
      </c>
      <c r="F288" s="964">
        <f t="shared" si="11"/>
        <v>0</v>
      </c>
      <c r="G288" s="964"/>
      <c r="H288" s="964"/>
      <c r="I288" s="964"/>
      <c r="J288" s="946"/>
      <c r="K288" s="938"/>
    </row>
    <row r="289" spans="1:226" s="939" customFormat="1" ht="24.95" hidden="1" customHeight="1">
      <c r="A289" s="1499"/>
      <c r="B289" s="1500"/>
      <c r="C289" s="1501"/>
      <c r="D289" s="1502"/>
      <c r="E289" s="954" t="s">
        <v>937</v>
      </c>
      <c r="F289" s="955">
        <f>SUM(F290,F305)</f>
        <v>0</v>
      </c>
      <c r="G289" s="955">
        <f>SUM(G290,G305)</f>
        <v>0</v>
      </c>
      <c r="H289" s="955">
        <f>SUM(H290,H305)</f>
        <v>0</v>
      </c>
      <c r="I289" s="955">
        <f>SUM(I290,I305)</f>
        <v>0</v>
      </c>
      <c r="J289" s="937">
        <f>SUM(J290,J305)</f>
        <v>0</v>
      </c>
      <c r="K289" s="938"/>
      <c r="L289" s="938"/>
      <c r="M289" s="938"/>
      <c r="N289" s="938"/>
      <c r="O289" s="938"/>
      <c r="P289" s="938"/>
      <c r="Q289" s="938"/>
      <c r="R289" s="938"/>
      <c r="S289" s="938"/>
      <c r="T289" s="938"/>
      <c r="U289" s="938"/>
      <c r="V289" s="938"/>
      <c r="W289" s="938"/>
      <c r="X289" s="938"/>
      <c r="Y289" s="938"/>
      <c r="Z289" s="938"/>
      <c r="AA289" s="938"/>
      <c r="AB289" s="938"/>
      <c r="AC289" s="938"/>
      <c r="AD289" s="938"/>
      <c r="AE289" s="938"/>
      <c r="AF289" s="938"/>
      <c r="AG289" s="938"/>
      <c r="AH289" s="938"/>
      <c r="AI289" s="938"/>
      <c r="AJ289" s="938"/>
      <c r="AK289" s="938"/>
      <c r="AL289" s="938"/>
      <c r="AM289" s="938"/>
      <c r="AN289" s="938"/>
      <c r="AO289" s="938"/>
      <c r="AP289" s="938"/>
      <c r="AQ289" s="938"/>
      <c r="AR289" s="938"/>
      <c r="AS289" s="938"/>
      <c r="AT289" s="938"/>
      <c r="AU289" s="938"/>
      <c r="AV289" s="938"/>
      <c r="AW289" s="938"/>
      <c r="AX289" s="938"/>
      <c r="AY289" s="938"/>
      <c r="AZ289" s="938"/>
      <c r="BA289" s="938"/>
      <c r="BB289" s="938"/>
      <c r="BC289" s="938"/>
      <c r="BD289" s="938"/>
      <c r="BE289" s="938"/>
      <c r="BF289" s="938"/>
      <c r="BG289" s="938"/>
      <c r="BH289" s="938"/>
      <c r="BI289" s="938"/>
      <c r="BJ289" s="938"/>
      <c r="BK289" s="938"/>
      <c r="BL289" s="938"/>
      <c r="BM289" s="938"/>
      <c r="BN289" s="938"/>
      <c r="BO289" s="938"/>
      <c r="BP289" s="938"/>
      <c r="BQ289" s="938"/>
      <c r="BR289" s="938"/>
      <c r="BS289" s="938"/>
      <c r="BT289" s="938"/>
      <c r="BU289" s="938"/>
      <c r="BV289" s="938"/>
      <c r="BW289" s="938"/>
      <c r="BX289" s="938"/>
      <c r="BY289" s="938"/>
      <c r="BZ289" s="938"/>
      <c r="CA289" s="938"/>
      <c r="CB289" s="938"/>
      <c r="CC289" s="938"/>
      <c r="CD289" s="938"/>
      <c r="CE289" s="938"/>
      <c r="CF289" s="938"/>
      <c r="CG289" s="938"/>
      <c r="CH289" s="938"/>
      <c r="CI289" s="938"/>
      <c r="CJ289" s="938"/>
      <c r="CK289" s="938"/>
      <c r="CL289" s="938"/>
      <c r="CM289" s="938"/>
      <c r="CN289" s="938"/>
      <c r="CO289" s="938"/>
      <c r="CP289" s="938"/>
      <c r="CQ289" s="938"/>
      <c r="CR289" s="938"/>
      <c r="CS289" s="938"/>
      <c r="CT289" s="938"/>
      <c r="CU289" s="938"/>
      <c r="CV289" s="938"/>
      <c r="CW289" s="938"/>
      <c r="CX289" s="938"/>
      <c r="CY289" s="938"/>
      <c r="CZ289" s="938"/>
      <c r="DA289" s="938"/>
      <c r="DB289" s="938"/>
      <c r="DC289" s="938"/>
      <c r="DD289" s="938"/>
      <c r="DE289" s="938"/>
      <c r="DF289" s="938"/>
      <c r="DG289" s="938"/>
      <c r="DH289" s="938"/>
      <c r="DI289" s="938"/>
      <c r="DJ289" s="938"/>
      <c r="DK289" s="938"/>
      <c r="DL289" s="938"/>
      <c r="DM289" s="938"/>
      <c r="DN289" s="938"/>
      <c r="DO289" s="938"/>
      <c r="DP289" s="938"/>
      <c r="DQ289" s="938"/>
      <c r="DR289" s="938"/>
      <c r="DS289" s="938"/>
      <c r="DT289" s="938"/>
      <c r="DU289" s="938"/>
      <c r="DV289" s="938"/>
      <c r="DW289" s="938"/>
      <c r="DX289" s="938"/>
      <c r="DY289" s="938"/>
      <c r="DZ289" s="938"/>
      <c r="EA289" s="938"/>
      <c r="EB289" s="938"/>
      <c r="EC289" s="938"/>
      <c r="ED289" s="938"/>
      <c r="EE289" s="938"/>
      <c r="EF289" s="938"/>
      <c r="EG289" s="938"/>
      <c r="EH289" s="938"/>
      <c r="EI289" s="938"/>
      <c r="EJ289" s="938"/>
      <c r="EK289" s="938"/>
      <c r="EL289" s="938"/>
      <c r="EM289" s="938"/>
      <c r="EN289" s="938"/>
      <c r="EO289" s="938"/>
      <c r="EP289" s="938"/>
      <c r="EQ289" s="938"/>
      <c r="ER289" s="938"/>
      <c r="ES289" s="938"/>
      <c r="ET289" s="938"/>
      <c r="EU289" s="938"/>
      <c r="EV289" s="938"/>
      <c r="EW289" s="938"/>
      <c r="EX289" s="938"/>
      <c r="EY289" s="938"/>
      <c r="EZ289" s="938"/>
      <c r="FA289" s="938"/>
      <c r="FB289" s="938"/>
      <c r="FC289" s="938"/>
      <c r="FD289" s="938"/>
      <c r="FE289" s="938"/>
      <c r="FF289" s="938"/>
      <c r="FG289" s="938"/>
      <c r="FH289" s="938"/>
      <c r="FI289" s="938"/>
      <c r="FJ289" s="938"/>
      <c r="FK289" s="938"/>
      <c r="FL289" s="938"/>
      <c r="FM289" s="938"/>
      <c r="FN289" s="938"/>
      <c r="FO289" s="938"/>
      <c r="FP289" s="938"/>
      <c r="FQ289" s="938"/>
      <c r="FR289" s="938"/>
      <c r="FS289" s="938"/>
      <c r="FT289" s="938"/>
      <c r="FU289" s="938"/>
      <c r="FV289" s="938"/>
      <c r="FW289" s="938"/>
      <c r="FX289" s="938"/>
      <c r="FY289" s="938"/>
      <c r="FZ289" s="938"/>
      <c r="GA289" s="938"/>
      <c r="GB289" s="938"/>
      <c r="GC289" s="938"/>
      <c r="GD289" s="938"/>
      <c r="GE289" s="938"/>
      <c r="GF289" s="938"/>
      <c r="GG289" s="938"/>
      <c r="GH289" s="938"/>
      <c r="GI289" s="938"/>
      <c r="GJ289" s="938"/>
      <c r="GK289" s="938"/>
      <c r="GL289" s="938"/>
      <c r="GM289" s="938"/>
      <c r="GN289" s="938"/>
      <c r="GO289" s="938"/>
      <c r="GP289" s="938"/>
      <c r="GQ289" s="938"/>
      <c r="GR289" s="938"/>
      <c r="GS289" s="938"/>
      <c r="GT289" s="938"/>
      <c r="GU289" s="938"/>
      <c r="GV289" s="938"/>
      <c r="GW289" s="938"/>
      <c r="GX289" s="938"/>
      <c r="GY289" s="938"/>
      <c r="GZ289" s="938"/>
      <c r="HA289" s="938"/>
      <c r="HB289" s="938"/>
      <c r="HC289" s="938"/>
      <c r="HD289" s="938"/>
      <c r="HE289" s="938"/>
      <c r="HF289" s="938"/>
      <c r="HG289" s="938"/>
      <c r="HH289" s="938"/>
      <c r="HI289" s="938"/>
      <c r="HJ289" s="938"/>
      <c r="HK289" s="938"/>
      <c r="HL289" s="938"/>
      <c r="HM289" s="938"/>
      <c r="HN289" s="938"/>
      <c r="HO289" s="938"/>
      <c r="HP289" s="938"/>
      <c r="HQ289" s="938"/>
      <c r="HR289" s="938"/>
    </row>
    <row r="290" spans="1:226" s="939" customFormat="1" ht="24.95" hidden="1" customHeight="1">
      <c r="A290" s="1499"/>
      <c r="B290" s="1500"/>
      <c r="C290" s="1501"/>
      <c r="D290" s="1502"/>
      <c r="E290" s="957" t="s">
        <v>943</v>
      </c>
      <c r="F290" s="958">
        <f>SUM(F291,F295,F300)</f>
        <v>0</v>
      </c>
      <c r="G290" s="958">
        <f>SUM(G291,G295,G300)</f>
        <v>0</v>
      </c>
      <c r="H290" s="958">
        <f>SUM(H291,H295,H300)</f>
        <v>0</v>
      </c>
      <c r="I290" s="958">
        <f>SUM(I291,I295,I300)</f>
        <v>0</v>
      </c>
      <c r="J290" s="942">
        <f>SUM(J291,J295,J300)</f>
        <v>0</v>
      </c>
      <c r="K290" s="938"/>
    </row>
    <row r="291" spans="1:226" s="939" customFormat="1" ht="24.95" hidden="1" customHeight="1">
      <c r="A291" s="1499"/>
      <c r="B291" s="1500"/>
      <c r="C291" s="1501"/>
      <c r="D291" s="1502"/>
      <c r="E291" s="960" t="s">
        <v>964</v>
      </c>
      <c r="F291" s="961">
        <f>SUM(F292:F294)</f>
        <v>0</v>
      </c>
      <c r="G291" s="961">
        <f>SUM(G292:G294)</f>
        <v>0</v>
      </c>
      <c r="H291" s="961">
        <f>SUM(H292:H294)</f>
        <v>0</v>
      </c>
      <c r="I291" s="961">
        <f>SUM(I292:I294)</f>
        <v>0</v>
      </c>
      <c r="J291" s="951">
        <f>SUM(J292:J294)</f>
        <v>0</v>
      </c>
      <c r="K291" s="938"/>
    </row>
    <row r="292" spans="1:226" s="939" customFormat="1" ht="15" hidden="1" customHeight="1">
      <c r="A292" s="1499"/>
      <c r="B292" s="1500"/>
      <c r="C292" s="1501"/>
      <c r="D292" s="1502"/>
      <c r="E292" s="963"/>
      <c r="F292" s="964">
        <f>SUM(G292:J292)</f>
        <v>0</v>
      </c>
      <c r="G292" s="964"/>
      <c r="H292" s="964"/>
      <c r="I292" s="964"/>
      <c r="J292" s="946"/>
      <c r="K292" s="938"/>
    </row>
    <row r="293" spans="1:226" s="939" customFormat="1" ht="15" hidden="1" customHeight="1">
      <c r="A293" s="1499"/>
      <c r="B293" s="1500"/>
      <c r="C293" s="1501"/>
      <c r="D293" s="1502"/>
      <c r="E293" s="963"/>
      <c r="F293" s="964">
        <f>SUM(G293:J293)</f>
        <v>0</v>
      </c>
      <c r="G293" s="964"/>
      <c r="H293" s="964"/>
      <c r="I293" s="964"/>
      <c r="J293" s="946"/>
      <c r="K293" s="938"/>
    </row>
    <row r="294" spans="1:226" s="939" customFormat="1" ht="15" hidden="1" customHeight="1">
      <c r="A294" s="1499"/>
      <c r="B294" s="1500"/>
      <c r="C294" s="1501"/>
      <c r="D294" s="1502"/>
      <c r="E294" s="963"/>
      <c r="F294" s="964">
        <f>SUM(G294:J294)</f>
        <v>0</v>
      </c>
      <c r="G294" s="964"/>
      <c r="H294" s="964"/>
      <c r="I294" s="964"/>
      <c r="J294" s="946"/>
      <c r="K294" s="938"/>
    </row>
    <row r="295" spans="1:226" s="939" customFormat="1" ht="24.95" hidden="1" customHeight="1">
      <c r="A295" s="1499"/>
      <c r="B295" s="1500"/>
      <c r="C295" s="1501"/>
      <c r="D295" s="1502"/>
      <c r="E295" s="960" t="s">
        <v>944</v>
      </c>
      <c r="F295" s="961">
        <f>SUM(F296:F299)</f>
        <v>0</v>
      </c>
      <c r="G295" s="961">
        <f>SUM(G296:G299)</f>
        <v>0</v>
      </c>
      <c r="H295" s="961">
        <f>SUM(H296:H299)</f>
        <v>0</v>
      </c>
      <c r="I295" s="961">
        <f>SUM(I296:I299)</f>
        <v>0</v>
      </c>
      <c r="J295" s="951">
        <f>SUM(J296:J299)</f>
        <v>0</v>
      </c>
      <c r="K295" s="938"/>
    </row>
    <row r="296" spans="1:226" s="939" customFormat="1" ht="15" hidden="1" customHeight="1">
      <c r="A296" s="1499"/>
      <c r="B296" s="1500"/>
      <c r="C296" s="1501"/>
      <c r="D296" s="1502"/>
      <c r="E296" s="963"/>
      <c r="F296" s="964">
        <f t="shared" ref="F296:F299" si="12">SUM(G296:J296)</f>
        <v>0</v>
      </c>
      <c r="G296" s="964"/>
      <c r="H296" s="964"/>
      <c r="I296" s="964"/>
      <c r="J296" s="946"/>
      <c r="K296" s="938"/>
    </row>
    <row r="297" spans="1:226" s="939" customFormat="1" ht="15" hidden="1" customHeight="1">
      <c r="A297" s="1499"/>
      <c r="B297" s="1500"/>
      <c r="C297" s="1501"/>
      <c r="D297" s="1502"/>
      <c r="E297" s="963"/>
      <c r="F297" s="964">
        <f t="shared" si="12"/>
        <v>0</v>
      </c>
      <c r="G297" s="964"/>
      <c r="H297" s="964"/>
      <c r="I297" s="964"/>
      <c r="J297" s="946"/>
      <c r="K297" s="938"/>
    </row>
    <row r="298" spans="1:226" s="939" customFormat="1" ht="15" hidden="1" customHeight="1">
      <c r="A298" s="1499"/>
      <c r="B298" s="1500"/>
      <c r="C298" s="1501"/>
      <c r="D298" s="1502"/>
      <c r="E298" s="963"/>
      <c r="F298" s="964">
        <f t="shared" si="12"/>
        <v>0</v>
      </c>
      <c r="G298" s="964"/>
      <c r="H298" s="964"/>
      <c r="I298" s="964"/>
      <c r="J298" s="946"/>
      <c r="K298" s="938"/>
    </row>
    <row r="299" spans="1:226" s="939" customFormat="1" ht="15" hidden="1" customHeight="1">
      <c r="A299" s="1499"/>
      <c r="B299" s="1500"/>
      <c r="C299" s="1501"/>
      <c r="D299" s="1502"/>
      <c r="E299" s="963"/>
      <c r="F299" s="964">
        <f t="shared" si="12"/>
        <v>0</v>
      </c>
      <c r="G299" s="964"/>
      <c r="H299" s="964"/>
      <c r="I299" s="964"/>
      <c r="J299" s="946"/>
      <c r="K299" s="938"/>
    </row>
    <row r="300" spans="1:226" s="939" customFormat="1" ht="24.95" hidden="1" customHeight="1">
      <c r="A300" s="1499"/>
      <c r="B300" s="1500"/>
      <c r="C300" s="1501"/>
      <c r="D300" s="1502"/>
      <c r="E300" s="960" t="s">
        <v>945</v>
      </c>
      <c r="F300" s="961">
        <f>SUM(F301:F304)</f>
        <v>0</v>
      </c>
      <c r="G300" s="961">
        <f>SUM(G301:G304)</f>
        <v>0</v>
      </c>
      <c r="H300" s="961">
        <f>SUM(H301:H304)</f>
        <v>0</v>
      </c>
      <c r="I300" s="961">
        <f>SUM(I301:I304)</f>
        <v>0</v>
      </c>
      <c r="J300" s="951">
        <f>SUM(J301:J304)</f>
        <v>0</v>
      </c>
      <c r="K300" s="938"/>
    </row>
    <row r="301" spans="1:226" s="939" customFormat="1" ht="15" hidden="1" customHeight="1">
      <c r="A301" s="1499"/>
      <c r="B301" s="1500"/>
      <c r="C301" s="1501"/>
      <c r="D301" s="1502"/>
      <c r="E301" s="963"/>
      <c r="F301" s="964">
        <f t="shared" ref="F301:F304" si="13">SUM(G301:J301)</f>
        <v>0</v>
      </c>
      <c r="G301" s="964"/>
      <c r="H301" s="964"/>
      <c r="I301" s="964"/>
      <c r="J301" s="946"/>
      <c r="K301" s="938"/>
    </row>
    <row r="302" spans="1:226" s="939" customFormat="1" ht="15" hidden="1" customHeight="1">
      <c r="A302" s="1499"/>
      <c r="B302" s="1500"/>
      <c r="C302" s="1501"/>
      <c r="D302" s="1502"/>
      <c r="E302" s="963"/>
      <c r="F302" s="964">
        <f t="shared" si="13"/>
        <v>0</v>
      </c>
      <c r="G302" s="964"/>
      <c r="H302" s="964"/>
      <c r="I302" s="964"/>
      <c r="J302" s="946"/>
      <c r="K302" s="938"/>
    </row>
    <row r="303" spans="1:226" s="939" customFormat="1" ht="15" hidden="1" customHeight="1">
      <c r="A303" s="1499"/>
      <c r="B303" s="1500"/>
      <c r="C303" s="1501"/>
      <c r="D303" s="1502"/>
      <c r="E303" s="963"/>
      <c r="F303" s="964">
        <f t="shared" si="13"/>
        <v>0</v>
      </c>
      <c r="G303" s="964"/>
      <c r="H303" s="964"/>
      <c r="I303" s="964"/>
      <c r="J303" s="946"/>
      <c r="K303" s="938"/>
    </row>
    <row r="304" spans="1:226" s="939" customFormat="1" ht="15" hidden="1" customHeight="1">
      <c r="A304" s="1499"/>
      <c r="B304" s="1500"/>
      <c r="C304" s="1501"/>
      <c r="D304" s="1502"/>
      <c r="E304" s="963"/>
      <c r="F304" s="964">
        <f t="shared" si="13"/>
        <v>0</v>
      </c>
      <c r="G304" s="964"/>
      <c r="H304" s="964"/>
      <c r="I304" s="964"/>
      <c r="J304" s="946"/>
      <c r="K304" s="938"/>
    </row>
    <row r="305" spans="1:226" s="939" customFormat="1" ht="24.95" hidden="1" customHeight="1">
      <c r="A305" s="1499"/>
      <c r="B305" s="1500"/>
      <c r="C305" s="1501"/>
      <c r="D305" s="1502"/>
      <c r="E305" s="966" t="s">
        <v>939</v>
      </c>
      <c r="F305" s="958">
        <f>SUM(F306:F308)</f>
        <v>0</v>
      </c>
      <c r="G305" s="958">
        <f>SUM(G306:G308)</f>
        <v>0</v>
      </c>
      <c r="H305" s="958">
        <f>SUM(H306:H308)</f>
        <v>0</v>
      </c>
      <c r="I305" s="958">
        <f>SUM(I306:I308)</f>
        <v>0</v>
      </c>
      <c r="J305" s="942">
        <f>SUM(J306:J308)</f>
        <v>0</v>
      </c>
      <c r="K305" s="938"/>
    </row>
    <row r="306" spans="1:226" s="939" customFormat="1" ht="15" hidden="1" customHeight="1">
      <c r="A306" s="1499"/>
      <c r="B306" s="1500"/>
      <c r="C306" s="1501"/>
      <c r="D306" s="1502"/>
      <c r="E306" s="963"/>
      <c r="F306" s="964">
        <f>SUM(G306:J306)</f>
        <v>0</v>
      </c>
      <c r="G306" s="964"/>
      <c r="H306" s="964"/>
      <c r="I306" s="964"/>
      <c r="J306" s="946"/>
      <c r="K306" s="938"/>
    </row>
    <row r="307" spans="1:226" s="939" customFormat="1" ht="15" hidden="1" customHeight="1">
      <c r="A307" s="1499"/>
      <c r="B307" s="1500"/>
      <c r="C307" s="1501"/>
      <c r="D307" s="1502"/>
      <c r="E307" s="963"/>
      <c r="F307" s="964"/>
      <c r="G307" s="964"/>
      <c r="H307" s="964"/>
      <c r="I307" s="964"/>
      <c r="J307" s="946"/>
      <c r="K307" s="938"/>
    </row>
    <row r="308" spans="1:226" s="939" customFormat="1" ht="15" hidden="1" customHeight="1">
      <c r="A308" s="1499"/>
      <c r="B308" s="1500"/>
      <c r="C308" s="1501"/>
      <c r="D308" s="1502"/>
      <c r="E308" s="975"/>
      <c r="F308" s="964">
        <f>SUM(G308:J308)</f>
        <v>0</v>
      </c>
      <c r="G308" s="964"/>
      <c r="H308" s="964"/>
      <c r="I308" s="964"/>
      <c r="J308" s="946"/>
      <c r="K308" s="938"/>
    </row>
    <row r="309" spans="1:226" s="939" customFormat="1" ht="24.95" customHeight="1">
      <c r="A309" s="1499" t="s">
        <v>935</v>
      </c>
      <c r="B309" s="1500" t="s">
        <v>1022</v>
      </c>
      <c r="C309" s="1501">
        <v>853</v>
      </c>
      <c r="D309" s="1502" t="s">
        <v>612</v>
      </c>
      <c r="E309" s="954" t="s">
        <v>937</v>
      </c>
      <c r="F309" s="955">
        <f>SUM(F310,F354)</f>
        <v>3238824</v>
      </c>
      <c r="G309" s="955">
        <f>SUM(G310,G354)</f>
        <v>485824</v>
      </c>
      <c r="H309" s="955">
        <f>SUM(H310,H354)</f>
        <v>0</v>
      </c>
      <c r="I309" s="955">
        <f>SUM(I310,I354)</f>
        <v>2753000</v>
      </c>
      <c r="J309" s="937">
        <f>SUM(J310,J354)</f>
        <v>0</v>
      </c>
      <c r="K309" s="938"/>
    </row>
    <row r="310" spans="1:226" s="939" customFormat="1" ht="24.95" customHeight="1">
      <c r="A310" s="1499"/>
      <c r="B310" s="1500"/>
      <c r="C310" s="1501"/>
      <c r="D310" s="1502"/>
      <c r="E310" s="957" t="s">
        <v>943</v>
      </c>
      <c r="F310" s="958">
        <f>SUM(F311,F316,F327)</f>
        <v>3223530</v>
      </c>
      <c r="G310" s="958">
        <f>SUM(G311,G316,G327)</f>
        <v>483530</v>
      </c>
      <c r="H310" s="958">
        <f>SUM(H311,H316,H327)</f>
        <v>0</v>
      </c>
      <c r="I310" s="958">
        <f>SUM(I311,I316,I327)</f>
        <v>2740000</v>
      </c>
      <c r="J310" s="942">
        <f>SUM(J311,J316,J327)</f>
        <v>0</v>
      </c>
      <c r="K310" s="938"/>
      <c r="L310" s="938"/>
      <c r="M310" s="938"/>
      <c r="N310" s="938"/>
      <c r="O310" s="938"/>
      <c r="P310" s="938"/>
      <c r="Q310" s="938"/>
      <c r="R310" s="938"/>
      <c r="S310" s="938"/>
      <c r="T310" s="938"/>
      <c r="U310" s="938"/>
      <c r="V310" s="938"/>
      <c r="W310" s="938"/>
      <c r="X310" s="938"/>
      <c r="Y310" s="938"/>
      <c r="Z310" s="938"/>
      <c r="AA310" s="938"/>
      <c r="AB310" s="938"/>
      <c r="AC310" s="938"/>
      <c r="AD310" s="938"/>
      <c r="AE310" s="938"/>
      <c r="AF310" s="938"/>
      <c r="AG310" s="938"/>
      <c r="AH310" s="938"/>
      <c r="AI310" s="938"/>
      <c r="AJ310" s="938"/>
      <c r="AK310" s="938"/>
      <c r="AL310" s="938"/>
      <c r="AM310" s="938"/>
      <c r="AN310" s="938"/>
      <c r="AO310" s="938"/>
      <c r="AP310" s="938"/>
      <c r="AQ310" s="938"/>
      <c r="AR310" s="938"/>
      <c r="AS310" s="938"/>
      <c r="AT310" s="938"/>
      <c r="AU310" s="938"/>
      <c r="AV310" s="938"/>
      <c r="AW310" s="938"/>
      <c r="AX310" s="938"/>
      <c r="AY310" s="938"/>
      <c r="AZ310" s="938"/>
      <c r="BA310" s="938"/>
      <c r="BB310" s="938"/>
      <c r="BC310" s="938"/>
      <c r="BD310" s="938"/>
      <c r="BE310" s="938"/>
      <c r="BF310" s="938"/>
      <c r="BG310" s="938"/>
      <c r="BH310" s="938"/>
      <c r="BI310" s="938"/>
      <c r="BJ310" s="938"/>
      <c r="BK310" s="938"/>
      <c r="BL310" s="938"/>
      <c r="BM310" s="938"/>
      <c r="BN310" s="938"/>
      <c r="BO310" s="938"/>
      <c r="BP310" s="938"/>
      <c r="BQ310" s="938"/>
      <c r="BR310" s="938"/>
      <c r="BS310" s="938"/>
      <c r="BT310" s="938"/>
      <c r="BU310" s="938"/>
      <c r="BV310" s="938"/>
      <c r="BW310" s="938"/>
      <c r="BX310" s="938"/>
      <c r="BY310" s="938"/>
      <c r="BZ310" s="938"/>
      <c r="CA310" s="938"/>
      <c r="CB310" s="938"/>
      <c r="CC310" s="938"/>
      <c r="CD310" s="938"/>
      <c r="CE310" s="938"/>
      <c r="CF310" s="938"/>
      <c r="CG310" s="938"/>
      <c r="CH310" s="938"/>
      <c r="CI310" s="938"/>
      <c r="CJ310" s="938"/>
      <c r="CK310" s="938"/>
      <c r="CL310" s="938"/>
      <c r="CM310" s="938"/>
      <c r="CN310" s="938"/>
      <c r="CO310" s="938"/>
      <c r="CP310" s="938"/>
      <c r="CQ310" s="938"/>
      <c r="CR310" s="938"/>
      <c r="CS310" s="938"/>
      <c r="CT310" s="938"/>
      <c r="CU310" s="938"/>
      <c r="CV310" s="938"/>
      <c r="CW310" s="938"/>
      <c r="CX310" s="938"/>
      <c r="CY310" s="938"/>
      <c r="CZ310" s="938"/>
      <c r="DA310" s="938"/>
      <c r="DB310" s="938"/>
      <c r="DC310" s="938"/>
      <c r="DD310" s="938"/>
      <c r="DE310" s="938"/>
      <c r="DF310" s="938"/>
      <c r="DG310" s="938"/>
      <c r="DH310" s="938"/>
      <c r="DI310" s="938"/>
      <c r="DJ310" s="938"/>
      <c r="DK310" s="938"/>
      <c r="DL310" s="938"/>
      <c r="DM310" s="938"/>
      <c r="DN310" s="938"/>
      <c r="DO310" s="938"/>
      <c r="DP310" s="938"/>
      <c r="DQ310" s="938"/>
      <c r="DR310" s="938"/>
      <c r="DS310" s="938"/>
      <c r="DT310" s="938"/>
      <c r="DU310" s="938"/>
      <c r="DV310" s="938"/>
      <c r="DW310" s="938"/>
      <c r="DX310" s="938"/>
      <c r="DY310" s="938"/>
      <c r="DZ310" s="938"/>
      <c r="EA310" s="938"/>
      <c r="EB310" s="938"/>
      <c r="EC310" s="938"/>
      <c r="ED310" s="938"/>
      <c r="EE310" s="938"/>
      <c r="EF310" s="938"/>
      <c r="EG310" s="938"/>
      <c r="EH310" s="938"/>
      <c r="EI310" s="938"/>
      <c r="EJ310" s="938"/>
      <c r="EK310" s="938"/>
      <c r="EL310" s="938"/>
      <c r="EM310" s="938"/>
      <c r="EN310" s="938"/>
      <c r="EO310" s="938"/>
      <c r="EP310" s="938"/>
      <c r="EQ310" s="938"/>
      <c r="ER310" s="938"/>
      <c r="ES310" s="938"/>
      <c r="ET310" s="938"/>
      <c r="EU310" s="938"/>
      <c r="EV310" s="938"/>
      <c r="EW310" s="938"/>
      <c r="EX310" s="938"/>
      <c r="EY310" s="938"/>
      <c r="EZ310" s="938"/>
      <c r="FA310" s="938"/>
      <c r="FB310" s="938"/>
      <c r="FC310" s="938"/>
      <c r="FD310" s="938"/>
      <c r="FE310" s="938"/>
      <c r="FF310" s="938"/>
      <c r="FG310" s="938"/>
      <c r="FH310" s="938"/>
      <c r="FI310" s="938"/>
      <c r="FJ310" s="938"/>
      <c r="FK310" s="938"/>
      <c r="FL310" s="938"/>
      <c r="FM310" s="938"/>
      <c r="FN310" s="938"/>
      <c r="FO310" s="938"/>
      <c r="FP310" s="938"/>
      <c r="FQ310" s="938"/>
      <c r="FR310" s="938"/>
      <c r="FS310" s="938"/>
      <c r="FT310" s="938"/>
      <c r="FU310" s="938"/>
      <c r="FV310" s="938"/>
      <c r="FW310" s="938"/>
      <c r="FX310" s="938"/>
      <c r="FY310" s="938"/>
      <c r="FZ310" s="938"/>
      <c r="GA310" s="938"/>
      <c r="GB310" s="938"/>
      <c r="GC310" s="938"/>
      <c r="GD310" s="938"/>
      <c r="GE310" s="938"/>
      <c r="GF310" s="938"/>
      <c r="GG310" s="938"/>
      <c r="GH310" s="938"/>
      <c r="GI310" s="938"/>
      <c r="GJ310" s="938"/>
      <c r="GK310" s="938"/>
      <c r="GL310" s="938"/>
      <c r="GM310" s="938"/>
      <c r="GN310" s="938"/>
      <c r="GO310" s="938"/>
      <c r="GP310" s="938"/>
      <c r="GQ310" s="938"/>
      <c r="GR310" s="938"/>
      <c r="GS310" s="938"/>
      <c r="GT310" s="938"/>
      <c r="GU310" s="938"/>
      <c r="GV310" s="938"/>
      <c r="GW310" s="938"/>
      <c r="GX310" s="938"/>
      <c r="GY310" s="938"/>
      <c r="GZ310" s="938"/>
      <c r="HA310" s="938"/>
      <c r="HB310" s="938"/>
      <c r="HC310" s="938"/>
      <c r="HD310" s="938"/>
      <c r="HE310" s="938"/>
      <c r="HF310" s="938"/>
      <c r="HG310" s="938"/>
      <c r="HH310" s="938"/>
      <c r="HI310" s="938"/>
      <c r="HJ310" s="938"/>
      <c r="HK310" s="938"/>
      <c r="HL310" s="938"/>
      <c r="HM310" s="938"/>
      <c r="HN310" s="938"/>
      <c r="HO310" s="938"/>
      <c r="HP310" s="938"/>
      <c r="HQ310" s="938"/>
      <c r="HR310" s="938"/>
    </row>
    <row r="311" spans="1:226" s="939" customFormat="1" ht="24.95" hidden="1" customHeight="1">
      <c r="A311" s="1499"/>
      <c r="B311" s="1500"/>
      <c r="C311" s="1501"/>
      <c r="D311" s="1502"/>
      <c r="E311" s="960" t="s">
        <v>964</v>
      </c>
      <c r="F311" s="961">
        <f>SUM(F312:F315)</f>
        <v>0</v>
      </c>
      <c r="G311" s="961">
        <f>SUM(G312:G315)</f>
        <v>0</v>
      </c>
      <c r="H311" s="961">
        <f>SUM(H312:H315)</f>
        <v>0</v>
      </c>
      <c r="I311" s="961">
        <f>SUM(I312:I315)</f>
        <v>0</v>
      </c>
      <c r="J311" s="951">
        <f>SUM(J312:J315)</f>
        <v>0</v>
      </c>
      <c r="K311" s="938"/>
    </row>
    <row r="312" spans="1:226" s="939" customFormat="1" ht="15" hidden="1" customHeight="1">
      <c r="A312" s="1499"/>
      <c r="B312" s="1500"/>
      <c r="C312" s="1501"/>
      <c r="D312" s="1502"/>
      <c r="E312" s="963" t="s">
        <v>614</v>
      </c>
      <c r="F312" s="964">
        <f>SUM(G312:J312)</f>
        <v>0</v>
      </c>
      <c r="G312" s="964"/>
      <c r="H312" s="964"/>
      <c r="I312" s="964"/>
      <c r="J312" s="946"/>
      <c r="K312" s="938"/>
    </row>
    <row r="313" spans="1:226" s="939" customFormat="1" ht="15" hidden="1" customHeight="1">
      <c r="A313" s="1499"/>
      <c r="B313" s="1500"/>
      <c r="C313" s="1501"/>
      <c r="D313" s="1502"/>
      <c r="E313" s="963" t="s">
        <v>348</v>
      </c>
      <c r="F313" s="964">
        <f>SUM(G313:J313)</f>
        <v>0</v>
      </c>
      <c r="G313" s="964"/>
      <c r="H313" s="964"/>
      <c r="I313" s="964"/>
      <c r="J313" s="946"/>
      <c r="K313" s="938"/>
    </row>
    <row r="314" spans="1:226" s="939" customFormat="1" ht="15" hidden="1" customHeight="1">
      <c r="A314" s="1499"/>
      <c r="B314" s="1500"/>
      <c r="C314" s="1501"/>
      <c r="D314" s="1502"/>
      <c r="E314" s="963" t="s">
        <v>954</v>
      </c>
      <c r="F314" s="964">
        <f>SUM(G314:J314)</f>
        <v>0</v>
      </c>
      <c r="G314" s="964"/>
      <c r="H314" s="964"/>
      <c r="I314" s="964"/>
      <c r="J314" s="946"/>
      <c r="K314" s="938"/>
    </row>
    <row r="315" spans="1:226" s="939" customFormat="1" ht="15" hidden="1" customHeight="1">
      <c r="A315" s="1499"/>
      <c r="B315" s="1500"/>
      <c r="C315" s="1501"/>
      <c r="D315" s="1502"/>
      <c r="E315" s="963" t="s">
        <v>977</v>
      </c>
      <c r="F315" s="964">
        <f>SUM(G315:J315)</f>
        <v>0</v>
      </c>
      <c r="G315" s="964"/>
      <c r="H315" s="964"/>
      <c r="I315" s="964"/>
      <c r="J315" s="946"/>
      <c r="K315" s="938"/>
    </row>
    <row r="316" spans="1:226" s="939" customFormat="1" ht="24.95" customHeight="1">
      <c r="A316" s="1499"/>
      <c r="B316" s="1500"/>
      <c r="C316" s="1501"/>
      <c r="D316" s="1502"/>
      <c r="E316" s="960" t="s">
        <v>944</v>
      </c>
      <c r="F316" s="961">
        <f>SUM(F317:F326)</f>
        <v>2252250</v>
      </c>
      <c r="G316" s="961">
        <f>SUM(G317:G326)</f>
        <v>337838</v>
      </c>
      <c r="H316" s="961">
        <f>SUM(H317:H326)</f>
        <v>0</v>
      </c>
      <c r="I316" s="961">
        <f>SUM(I317:I326)</f>
        <v>1914412</v>
      </c>
      <c r="J316" s="951">
        <f>SUM(J317:J326)</f>
        <v>0</v>
      </c>
      <c r="K316" s="938"/>
    </row>
    <row r="317" spans="1:226" s="939" customFormat="1" ht="15" customHeight="1">
      <c r="A317" s="1499"/>
      <c r="B317" s="1500"/>
      <c r="C317" s="1501"/>
      <c r="D317" s="1502"/>
      <c r="E317" s="963" t="s">
        <v>291</v>
      </c>
      <c r="F317" s="964">
        <f t="shared" ref="F317:F326" si="14">SUM(G317:J317)</f>
        <v>1600144</v>
      </c>
      <c r="G317" s="964"/>
      <c r="H317" s="964"/>
      <c r="I317" s="964">
        <v>1600144</v>
      </c>
      <c r="J317" s="946"/>
      <c r="K317" s="938"/>
    </row>
    <row r="318" spans="1:226" s="939" customFormat="1" ht="15" customHeight="1">
      <c r="A318" s="1499"/>
      <c r="B318" s="1500"/>
      <c r="C318" s="1501"/>
      <c r="D318" s="1502"/>
      <c r="E318" s="963" t="s">
        <v>292</v>
      </c>
      <c r="F318" s="964">
        <f t="shared" si="14"/>
        <v>282378</v>
      </c>
      <c r="G318" s="964">
        <v>282378</v>
      </c>
      <c r="H318" s="964"/>
      <c r="I318" s="964"/>
      <c r="J318" s="946"/>
      <c r="K318" s="938"/>
    </row>
    <row r="319" spans="1:226" s="939" customFormat="1" ht="15" hidden="1" customHeight="1">
      <c r="A319" s="1499"/>
      <c r="B319" s="1500"/>
      <c r="C319" s="1501"/>
      <c r="D319" s="1502"/>
      <c r="E319" s="963" t="s">
        <v>293</v>
      </c>
      <c r="F319" s="964">
        <f t="shared" si="14"/>
        <v>0</v>
      </c>
      <c r="G319" s="964"/>
      <c r="H319" s="964"/>
      <c r="I319" s="964"/>
      <c r="J319" s="946"/>
      <c r="K319" s="938"/>
    </row>
    <row r="320" spans="1:226" s="939" customFormat="1" ht="15" hidden="1" customHeight="1">
      <c r="A320" s="1499"/>
      <c r="B320" s="1500"/>
      <c r="C320" s="1501"/>
      <c r="D320" s="1502"/>
      <c r="E320" s="963" t="s">
        <v>294</v>
      </c>
      <c r="F320" s="964">
        <f t="shared" si="14"/>
        <v>0</v>
      </c>
      <c r="G320" s="964"/>
      <c r="H320" s="964"/>
      <c r="I320" s="964"/>
      <c r="J320" s="946"/>
      <c r="K320" s="938"/>
    </row>
    <row r="321" spans="1:11" s="939" customFormat="1" ht="15" customHeight="1">
      <c r="A321" s="1499"/>
      <c r="B321" s="1500"/>
      <c r="C321" s="1501"/>
      <c r="D321" s="1502"/>
      <c r="E321" s="963" t="s">
        <v>295</v>
      </c>
      <c r="F321" s="964">
        <f t="shared" si="14"/>
        <v>275065</v>
      </c>
      <c r="G321" s="964"/>
      <c r="H321" s="964"/>
      <c r="I321" s="964">
        <v>275065</v>
      </c>
      <c r="J321" s="946"/>
      <c r="K321" s="938"/>
    </row>
    <row r="322" spans="1:11" s="939" customFormat="1" ht="15" customHeight="1">
      <c r="A322" s="1499"/>
      <c r="B322" s="1500"/>
      <c r="C322" s="1501"/>
      <c r="D322" s="1502"/>
      <c r="E322" s="963" t="s">
        <v>296</v>
      </c>
      <c r="F322" s="964">
        <f t="shared" si="14"/>
        <v>48541</v>
      </c>
      <c r="G322" s="964">
        <v>48541</v>
      </c>
      <c r="H322" s="964"/>
      <c r="I322" s="964"/>
      <c r="J322" s="946"/>
      <c r="K322" s="938"/>
    </row>
    <row r="323" spans="1:11" s="939" customFormat="1" ht="15" customHeight="1">
      <c r="A323" s="1499"/>
      <c r="B323" s="1500"/>
      <c r="C323" s="1501"/>
      <c r="D323" s="1502"/>
      <c r="E323" s="963" t="s">
        <v>297</v>
      </c>
      <c r="F323" s="964">
        <f t="shared" si="14"/>
        <v>39203</v>
      </c>
      <c r="G323" s="964"/>
      <c r="H323" s="964"/>
      <c r="I323" s="964">
        <v>39203</v>
      </c>
      <c r="J323" s="946"/>
      <c r="K323" s="938"/>
    </row>
    <row r="324" spans="1:11" s="939" customFormat="1" ht="15" customHeight="1">
      <c r="A324" s="1499"/>
      <c r="B324" s="1500"/>
      <c r="C324" s="1501"/>
      <c r="D324" s="1502"/>
      <c r="E324" s="963" t="s">
        <v>298</v>
      </c>
      <c r="F324" s="964">
        <f t="shared" si="14"/>
        <v>6919</v>
      </c>
      <c r="G324" s="964">
        <v>6919</v>
      </c>
      <c r="H324" s="964"/>
      <c r="I324" s="964"/>
      <c r="J324" s="946"/>
      <c r="K324" s="938"/>
    </row>
    <row r="325" spans="1:11" s="939" customFormat="1" ht="15" hidden="1" customHeight="1">
      <c r="A325" s="1499"/>
      <c r="B325" s="1500"/>
      <c r="C325" s="1501"/>
      <c r="D325" s="1502"/>
      <c r="E325" s="963" t="s">
        <v>299</v>
      </c>
      <c r="F325" s="964">
        <f t="shared" si="14"/>
        <v>0</v>
      </c>
      <c r="G325" s="964"/>
      <c r="H325" s="964"/>
      <c r="I325" s="964"/>
      <c r="J325" s="946"/>
      <c r="K325" s="938"/>
    </row>
    <row r="326" spans="1:11" s="939" customFormat="1" ht="15" hidden="1" customHeight="1">
      <c r="A326" s="1499"/>
      <c r="B326" s="1500"/>
      <c r="C326" s="1501"/>
      <c r="D326" s="1502"/>
      <c r="E326" s="963" t="s">
        <v>300</v>
      </c>
      <c r="F326" s="964">
        <f t="shared" si="14"/>
        <v>0</v>
      </c>
      <c r="G326" s="964"/>
      <c r="H326" s="964"/>
      <c r="I326" s="964"/>
      <c r="J326" s="946"/>
      <c r="K326" s="938"/>
    </row>
    <row r="327" spans="1:11" s="939" customFormat="1" ht="24.95" customHeight="1">
      <c r="A327" s="1499"/>
      <c r="B327" s="1500"/>
      <c r="C327" s="1501"/>
      <c r="D327" s="1502"/>
      <c r="E327" s="960" t="s">
        <v>945</v>
      </c>
      <c r="F327" s="961">
        <f>SUM(F328:F353)</f>
        <v>971280</v>
      </c>
      <c r="G327" s="961">
        <f>SUM(G328:G353)</f>
        <v>145692</v>
      </c>
      <c r="H327" s="961">
        <f>SUM(H328:H353)</f>
        <v>0</v>
      </c>
      <c r="I327" s="961">
        <f>SUM(I328:I353)</f>
        <v>825588</v>
      </c>
      <c r="J327" s="951">
        <f>SUM(J328:J353)</f>
        <v>0</v>
      </c>
      <c r="K327" s="938"/>
    </row>
    <row r="328" spans="1:11" s="939" customFormat="1" ht="15" customHeight="1">
      <c r="A328" s="1499"/>
      <c r="B328" s="1500"/>
      <c r="C328" s="1501"/>
      <c r="D328" s="1502"/>
      <c r="E328" s="963" t="s">
        <v>301</v>
      </c>
      <c r="F328" s="964">
        <f t="shared" ref="F328:F353" si="15">SUM(G328:J328)</f>
        <v>579394</v>
      </c>
      <c r="G328" s="964"/>
      <c r="H328" s="964"/>
      <c r="I328" s="964">
        <v>579394</v>
      </c>
      <c r="J328" s="946"/>
      <c r="K328" s="938"/>
    </row>
    <row r="329" spans="1:11" s="939" customFormat="1" ht="15" customHeight="1">
      <c r="A329" s="1499"/>
      <c r="B329" s="1500"/>
      <c r="C329" s="1501"/>
      <c r="D329" s="1502"/>
      <c r="E329" s="963" t="s">
        <v>302</v>
      </c>
      <c r="F329" s="964">
        <f t="shared" si="15"/>
        <v>102246</v>
      </c>
      <c r="G329" s="964">
        <v>102246</v>
      </c>
      <c r="H329" s="964"/>
      <c r="I329" s="964"/>
      <c r="J329" s="946"/>
      <c r="K329" s="938"/>
    </row>
    <row r="330" spans="1:11" s="939" customFormat="1" ht="15" hidden="1" customHeight="1">
      <c r="A330" s="1499"/>
      <c r="B330" s="1500"/>
      <c r="C330" s="1501"/>
      <c r="D330" s="1502"/>
      <c r="E330" s="963" t="s">
        <v>445</v>
      </c>
      <c r="F330" s="964">
        <f t="shared" si="15"/>
        <v>0</v>
      </c>
      <c r="G330" s="964"/>
      <c r="H330" s="964"/>
      <c r="I330" s="964"/>
      <c r="J330" s="946"/>
      <c r="K330" s="938"/>
    </row>
    <row r="331" spans="1:11" s="939" customFormat="1" ht="15" hidden="1" customHeight="1">
      <c r="A331" s="1499"/>
      <c r="B331" s="1500"/>
      <c r="C331" s="1501"/>
      <c r="D331" s="1502"/>
      <c r="E331" s="963" t="s">
        <v>425</v>
      </c>
      <c r="F331" s="964">
        <f t="shared" si="15"/>
        <v>0</v>
      </c>
      <c r="G331" s="964"/>
      <c r="H331" s="964"/>
      <c r="I331" s="964"/>
      <c r="J331" s="946"/>
      <c r="K331" s="938"/>
    </row>
    <row r="332" spans="1:11" s="939" customFormat="1" ht="15" hidden="1" customHeight="1">
      <c r="A332" s="1499"/>
      <c r="B332" s="1500"/>
      <c r="C332" s="1501"/>
      <c r="D332" s="1502"/>
      <c r="E332" s="963" t="s">
        <v>615</v>
      </c>
      <c r="F332" s="964">
        <f t="shared" si="15"/>
        <v>0</v>
      </c>
      <c r="G332" s="964"/>
      <c r="H332" s="964"/>
      <c r="I332" s="964"/>
      <c r="J332" s="946"/>
      <c r="K332" s="938"/>
    </row>
    <row r="333" spans="1:11" s="939" customFormat="1" ht="15" hidden="1" customHeight="1">
      <c r="A333" s="1499"/>
      <c r="B333" s="1500"/>
      <c r="C333" s="1501"/>
      <c r="D333" s="1502"/>
      <c r="E333" s="963" t="s">
        <v>616</v>
      </c>
      <c r="F333" s="964">
        <f t="shared" si="15"/>
        <v>0</v>
      </c>
      <c r="G333" s="964"/>
      <c r="H333" s="964"/>
      <c r="I333" s="964"/>
      <c r="J333" s="946"/>
      <c r="K333" s="938"/>
    </row>
    <row r="334" spans="1:11" s="939" customFormat="1" ht="15" customHeight="1">
      <c r="A334" s="1499"/>
      <c r="B334" s="1500"/>
      <c r="C334" s="1501"/>
      <c r="D334" s="1502"/>
      <c r="E334" s="963" t="s">
        <v>303</v>
      </c>
      <c r="F334" s="964">
        <f t="shared" si="15"/>
        <v>246194</v>
      </c>
      <c r="G334" s="964"/>
      <c r="H334" s="964"/>
      <c r="I334" s="964">
        <v>246194</v>
      </c>
      <c r="J334" s="946"/>
      <c r="K334" s="938"/>
    </row>
    <row r="335" spans="1:11" s="939" customFormat="1" ht="15" customHeight="1">
      <c r="A335" s="1499"/>
      <c r="B335" s="1500"/>
      <c r="C335" s="1501"/>
      <c r="D335" s="1502"/>
      <c r="E335" s="963" t="s">
        <v>304</v>
      </c>
      <c r="F335" s="964">
        <f t="shared" si="15"/>
        <v>43446</v>
      </c>
      <c r="G335" s="964">
        <v>43446</v>
      </c>
      <c r="H335" s="964"/>
      <c r="I335" s="964"/>
      <c r="J335" s="946"/>
      <c r="K335" s="938"/>
    </row>
    <row r="336" spans="1:11" s="939" customFormat="1" ht="15" hidden="1" customHeight="1">
      <c r="A336" s="1499"/>
      <c r="B336" s="1500"/>
      <c r="C336" s="1501"/>
      <c r="D336" s="1502"/>
      <c r="E336" s="963" t="s">
        <v>305</v>
      </c>
      <c r="F336" s="964">
        <f t="shared" si="15"/>
        <v>0</v>
      </c>
      <c r="G336" s="964"/>
      <c r="H336" s="964"/>
      <c r="I336" s="964"/>
      <c r="J336" s="946"/>
      <c r="K336" s="938"/>
    </row>
    <row r="337" spans="1:226" s="939" customFormat="1" ht="15" hidden="1" customHeight="1">
      <c r="A337" s="1499"/>
      <c r="B337" s="1500"/>
      <c r="C337" s="1501"/>
      <c r="D337" s="1502"/>
      <c r="E337" s="963" t="s">
        <v>306</v>
      </c>
      <c r="F337" s="964">
        <f t="shared" si="15"/>
        <v>0</v>
      </c>
      <c r="G337" s="964"/>
      <c r="H337" s="964"/>
      <c r="I337" s="964"/>
      <c r="J337" s="946"/>
      <c r="K337" s="938"/>
    </row>
    <row r="338" spans="1:226" s="939" customFormat="1" ht="15" hidden="1" customHeight="1">
      <c r="A338" s="1499"/>
      <c r="B338" s="1500"/>
      <c r="C338" s="1501"/>
      <c r="D338" s="1502"/>
      <c r="E338" s="963" t="s">
        <v>307</v>
      </c>
      <c r="F338" s="964">
        <f t="shared" si="15"/>
        <v>0</v>
      </c>
      <c r="G338" s="964"/>
      <c r="H338" s="964"/>
      <c r="I338" s="964"/>
      <c r="J338" s="946"/>
      <c r="K338" s="938"/>
    </row>
    <row r="339" spans="1:226" s="939" customFormat="1" ht="15" hidden="1" customHeight="1">
      <c r="A339" s="1499"/>
      <c r="B339" s="1500"/>
      <c r="C339" s="1501"/>
      <c r="D339" s="1502"/>
      <c r="E339" s="963" t="s">
        <v>308</v>
      </c>
      <c r="F339" s="964">
        <f t="shared" si="15"/>
        <v>0</v>
      </c>
      <c r="G339" s="964"/>
      <c r="H339" s="964"/>
      <c r="I339" s="964"/>
      <c r="J339" s="946"/>
      <c r="K339" s="938"/>
    </row>
    <row r="340" spans="1:226" s="939" customFormat="1" ht="15" hidden="1" customHeight="1">
      <c r="A340" s="1499"/>
      <c r="B340" s="1500"/>
      <c r="C340" s="1501"/>
      <c r="D340" s="1502"/>
      <c r="E340" s="963" t="s">
        <v>446</v>
      </c>
      <c r="F340" s="964">
        <f t="shared" si="15"/>
        <v>0</v>
      </c>
      <c r="G340" s="964"/>
      <c r="H340" s="964"/>
      <c r="I340" s="964"/>
      <c r="J340" s="946"/>
      <c r="K340" s="938"/>
    </row>
    <row r="341" spans="1:226" s="939" customFormat="1" ht="15" hidden="1" customHeight="1">
      <c r="A341" s="1499"/>
      <c r="B341" s="1500"/>
      <c r="C341" s="1501"/>
      <c r="D341" s="1502"/>
      <c r="E341" s="963" t="s">
        <v>447</v>
      </c>
      <c r="F341" s="964">
        <f t="shared" si="15"/>
        <v>0</v>
      </c>
      <c r="G341" s="964"/>
      <c r="H341" s="964"/>
      <c r="I341" s="964"/>
      <c r="J341" s="946"/>
      <c r="K341" s="938"/>
    </row>
    <row r="342" spans="1:226" s="934" customFormat="1" ht="15" hidden="1" customHeight="1">
      <c r="A342" s="1499"/>
      <c r="B342" s="1500"/>
      <c r="C342" s="1501"/>
      <c r="D342" s="1502"/>
      <c r="E342" s="963" t="s">
        <v>450</v>
      </c>
      <c r="F342" s="964">
        <f t="shared" si="15"/>
        <v>0</v>
      </c>
      <c r="G342" s="964"/>
      <c r="H342" s="964"/>
      <c r="I342" s="964"/>
      <c r="J342" s="946"/>
    </row>
    <row r="343" spans="1:226" s="930" customFormat="1" ht="15" hidden="1" customHeight="1">
      <c r="A343" s="1499"/>
      <c r="B343" s="1500"/>
      <c r="C343" s="1501"/>
      <c r="D343" s="1502"/>
      <c r="E343" s="963" t="s">
        <v>368</v>
      </c>
      <c r="F343" s="964">
        <f t="shared" si="15"/>
        <v>0</v>
      </c>
      <c r="G343" s="964"/>
      <c r="H343" s="964"/>
      <c r="I343" s="964"/>
      <c r="J343" s="946"/>
    </row>
    <row r="344" spans="1:226" s="939" customFormat="1" ht="15" hidden="1" customHeight="1">
      <c r="A344" s="1499"/>
      <c r="B344" s="1500"/>
      <c r="C344" s="1501"/>
      <c r="D344" s="1502"/>
      <c r="E344" s="963" t="s">
        <v>451</v>
      </c>
      <c r="F344" s="964">
        <f t="shared" si="15"/>
        <v>0</v>
      </c>
      <c r="G344" s="964"/>
      <c r="H344" s="964"/>
      <c r="I344" s="964"/>
      <c r="J344" s="946"/>
      <c r="K344" s="938"/>
      <c r="L344" s="938"/>
      <c r="M344" s="938"/>
      <c r="N344" s="938"/>
      <c r="O344" s="938"/>
      <c r="P344" s="938"/>
      <c r="Q344" s="938"/>
      <c r="R344" s="938"/>
      <c r="S344" s="938"/>
      <c r="T344" s="938"/>
      <c r="U344" s="938"/>
      <c r="V344" s="938"/>
      <c r="W344" s="938"/>
      <c r="X344" s="938"/>
      <c r="Y344" s="938"/>
      <c r="Z344" s="938"/>
      <c r="AA344" s="938"/>
      <c r="AB344" s="938"/>
      <c r="AC344" s="938"/>
      <c r="AD344" s="938"/>
      <c r="AE344" s="938"/>
      <c r="AF344" s="938"/>
      <c r="AG344" s="938"/>
      <c r="AH344" s="938"/>
      <c r="AI344" s="938"/>
      <c r="AJ344" s="938"/>
      <c r="AK344" s="938"/>
      <c r="AL344" s="938"/>
      <c r="AM344" s="938"/>
      <c r="AN344" s="938"/>
      <c r="AO344" s="938"/>
      <c r="AP344" s="938"/>
      <c r="AQ344" s="938"/>
      <c r="AR344" s="938"/>
      <c r="AS344" s="938"/>
      <c r="AT344" s="938"/>
      <c r="AU344" s="938"/>
      <c r="AV344" s="938"/>
      <c r="AW344" s="938"/>
      <c r="AX344" s="938"/>
      <c r="AY344" s="938"/>
      <c r="AZ344" s="938"/>
      <c r="BA344" s="938"/>
      <c r="BB344" s="938"/>
      <c r="BC344" s="938"/>
      <c r="BD344" s="938"/>
      <c r="BE344" s="938"/>
      <c r="BF344" s="938"/>
      <c r="BG344" s="938"/>
      <c r="BH344" s="938"/>
      <c r="BI344" s="938"/>
      <c r="BJ344" s="938"/>
      <c r="BK344" s="938"/>
      <c r="BL344" s="938"/>
      <c r="BM344" s="938"/>
      <c r="BN344" s="938"/>
      <c r="BO344" s="938"/>
      <c r="BP344" s="938"/>
      <c r="BQ344" s="938"/>
      <c r="BR344" s="938"/>
      <c r="BS344" s="938"/>
      <c r="BT344" s="938"/>
      <c r="BU344" s="938"/>
      <c r="BV344" s="938"/>
      <c r="BW344" s="938"/>
      <c r="BX344" s="938"/>
      <c r="BY344" s="938"/>
      <c r="BZ344" s="938"/>
      <c r="CA344" s="938"/>
      <c r="CB344" s="938"/>
      <c r="CC344" s="938"/>
      <c r="CD344" s="938"/>
      <c r="CE344" s="938"/>
      <c r="CF344" s="938"/>
      <c r="CG344" s="938"/>
      <c r="CH344" s="938"/>
      <c r="CI344" s="938"/>
      <c r="CJ344" s="938"/>
      <c r="CK344" s="938"/>
      <c r="CL344" s="938"/>
      <c r="CM344" s="938"/>
      <c r="CN344" s="938"/>
      <c r="CO344" s="938"/>
      <c r="CP344" s="938"/>
      <c r="CQ344" s="938"/>
      <c r="CR344" s="938"/>
      <c r="CS344" s="938"/>
      <c r="CT344" s="938"/>
      <c r="CU344" s="938"/>
      <c r="CV344" s="938"/>
      <c r="CW344" s="938"/>
      <c r="CX344" s="938"/>
      <c r="CY344" s="938"/>
      <c r="CZ344" s="938"/>
      <c r="DA344" s="938"/>
      <c r="DB344" s="938"/>
      <c r="DC344" s="938"/>
      <c r="DD344" s="938"/>
      <c r="DE344" s="938"/>
      <c r="DF344" s="938"/>
      <c r="DG344" s="938"/>
      <c r="DH344" s="938"/>
      <c r="DI344" s="938"/>
      <c r="DJ344" s="938"/>
      <c r="DK344" s="938"/>
      <c r="DL344" s="938"/>
      <c r="DM344" s="938"/>
      <c r="DN344" s="938"/>
      <c r="DO344" s="938"/>
      <c r="DP344" s="938"/>
      <c r="DQ344" s="938"/>
      <c r="DR344" s="938"/>
      <c r="DS344" s="938"/>
      <c r="DT344" s="938"/>
      <c r="DU344" s="938"/>
      <c r="DV344" s="938"/>
      <c r="DW344" s="938"/>
      <c r="DX344" s="938"/>
      <c r="DY344" s="938"/>
      <c r="DZ344" s="938"/>
      <c r="EA344" s="938"/>
      <c r="EB344" s="938"/>
      <c r="EC344" s="938"/>
      <c r="ED344" s="938"/>
      <c r="EE344" s="938"/>
      <c r="EF344" s="938"/>
      <c r="EG344" s="938"/>
      <c r="EH344" s="938"/>
      <c r="EI344" s="938"/>
      <c r="EJ344" s="938"/>
      <c r="EK344" s="938"/>
      <c r="EL344" s="938"/>
      <c r="EM344" s="938"/>
      <c r="EN344" s="938"/>
      <c r="EO344" s="938"/>
      <c r="EP344" s="938"/>
      <c r="EQ344" s="938"/>
      <c r="ER344" s="938"/>
      <c r="ES344" s="938"/>
      <c r="ET344" s="938"/>
      <c r="EU344" s="938"/>
      <c r="EV344" s="938"/>
      <c r="EW344" s="938"/>
      <c r="EX344" s="938"/>
      <c r="EY344" s="938"/>
      <c r="EZ344" s="938"/>
      <c r="FA344" s="938"/>
      <c r="FB344" s="938"/>
      <c r="FC344" s="938"/>
      <c r="FD344" s="938"/>
      <c r="FE344" s="938"/>
      <c r="FF344" s="938"/>
      <c r="FG344" s="938"/>
      <c r="FH344" s="938"/>
      <c r="FI344" s="938"/>
      <c r="FJ344" s="938"/>
      <c r="FK344" s="938"/>
      <c r="FL344" s="938"/>
      <c r="FM344" s="938"/>
      <c r="FN344" s="938"/>
      <c r="FO344" s="938"/>
      <c r="FP344" s="938"/>
      <c r="FQ344" s="938"/>
      <c r="FR344" s="938"/>
      <c r="FS344" s="938"/>
      <c r="FT344" s="938"/>
      <c r="FU344" s="938"/>
      <c r="FV344" s="938"/>
      <c r="FW344" s="938"/>
      <c r="FX344" s="938"/>
      <c r="FY344" s="938"/>
      <c r="FZ344" s="938"/>
      <c r="GA344" s="938"/>
      <c r="GB344" s="938"/>
      <c r="GC344" s="938"/>
      <c r="GD344" s="938"/>
      <c r="GE344" s="938"/>
      <c r="GF344" s="938"/>
      <c r="GG344" s="938"/>
      <c r="GH344" s="938"/>
      <c r="GI344" s="938"/>
      <c r="GJ344" s="938"/>
      <c r="GK344" s="938"/>
      <c r="GL344" s="938"/>
      <c r="GM344" s="938"/>
      <c r="GN344" s="938"/>
      <c r="GO344" s="938"/>
      <c r="GP344" s="938"/>
      <c r="GQ344" s="938"/>
      <c r="GR344" s="938"/>
      <c r="GS344" s="938"/>
      <c r="GT344" s="938"/>
      <c r="GU344" s="938"/>
      <c r="GV344" s="938"/>
      <c r="GW344" s="938"/>
      <c r="GX344" s="938"/>
      <c r="GY344" s="938"/>
      <c r="GZ344" s="938"/>
      <c r="HA344" s="938"/>
      <c r="HB344" s="938"/>
      <c r="HC344" s="938"/>
      <c r="HD344" s="938"/>
      <c r="HE344" s="938"/>
      <c r="HF344" s="938"/>
      <c r="HG344" s="938"/>
      <c r="HH344" s="938"/>
      <c r="HI344" s="938"/>
      <c r="HJ344" s="938"/>
      <c r="HK344" s="938"/>
      <c r="HL344" s="938"/>
      <c r="HM344" s="938"/>
      <c r="HN344" s="938"/>
      <c r="HO344" s="938"/>
      <c r="HP344" s="938"/>
      <c r="HQ344" s="938"/>
      <c r="HR344" s="938"/>
    </row>
    <row r="345" spans="1:226" s="939" customFormat="1" ht="15" hidden="1" customHeight="1">
      <c r="A345" s="1499"/>
      <c r="B345" s="1500"/>
      <c r="C345" s="1501"/>
      <c r="D345" s="1502"/>
      <c r="E345" s="963" t="s">
        <v>452</v>
      </c>
      <c r="F345" s="964">
        <f t="shared" si="15"/>
        <v>0</v>
      </c>
      <c r="G345" s="964"/>
      <c r="H345" s="964"/>
      <c r="I345" s="964"/>
      <c r="J345" s="946"/>
      <c r="K345" s="938"/>
    </row>
    <row r="346" spans="1:226" s="939" customFormat="1" ht="15" hidden="1" customHeight="1">
      <c r="A346" s="1499"/>
      <c r="B346" s="1500"/>
      <c r="C346" s="1501"/>
      <c r="D346" s="1502"/>
      <c r="E346" s="963" t="s">
        <v>309</v>
      </c>
      <c r="F346" s="964">
        <f t="shared" si="15"/>
        <v>0</v>
      </c>
      <c r="G346" s="964"/>
      <c r="H346" s="964"/>
      <c r="I346" s="964"/>
      <c r="J346" s="946"/>
      <c r="K346" s="938"/>
    </row>
    <row r="347" spans="1:226" s="939" customFormat="1" ht="15" hidden="1" customHeight="1">
      <c r="A347" s="1499"/>
      <c r="B347" s="1500"/>
      <c r="C347" s="1501"/>
      <c r="D347" s="1502"/>
      <c r="E347" s="963" t="s">
        <v>310</v>
      </c>
      <c r="F347" s="964">
        <f t="shared" si="15"/>
        <v>0</v>
      </c>
      <c r="G347" s="964"/>
      <c r="H347" s="964"/>
      <c r="I347" s="964"/>
      <c r="J347" s="946"/>
      <c r="K347" s="938"/>
    </row>
    <row r="348" spans="1:226" s="939" customFormat="1" ht="15" hidden="1" customHeight="1">
      <c r="A348" s="1499"/>
      <c r="B348" s="1500"/>
      <c r="C348" s="1501"/>
      <c r="D348" s="1502"/>
      <c r="E348" s="963" t="s">
        <v>313</v>
      </c>
      <c r="F348" s="964">
        <f t="shared" si="15"/>
        <v>0</v>
      </c>
      <c r="G348" s="964"/>
      <c r="H348" s="964"/>
      <c r="I348" s="964"/>
      <c r="J348" s="946"/>
      <c r="K348" s="938"/>
    </row>
    <row r="349" spans="1:226" s="939" customFormat="1" ht="15" hidden="1" customHeight="1">
      <c r="A349" s="1499"/>
      <c r="B349" s="1500"/>
      <c r="C349" s="1501"/>
      <c r="D349" s="1502"/>
      <c r="E349" s="963" t="s">
        <v>314</v>
      </c>
      <c r="F349" s="964">
        <f t="shared" si="15"/>
        <v>0</v>
      </c>
      <c r="G349" s="964"/>
      <c r="H349" s="964"/>
      <c r="I349" s="964"/>
      <c r="J349" s="946"/>
      <c r="K349" s="938"/>
    </row>
    <row r="350" spans="1:226" s="939" customFormat="1" ht="15" hidden="1" customHeight="1">
      <c r="A350" s="1499"/>
      <c r="B350" s="1500"/>
      <c r="C350" s="1501"/>
      <c r="D350" s="1502"/>
      <c r="E350" s="963" t="s">
        <v>453</v>
      </c>
      <c r="F350" s="964">
        <f t="shared" si="15"/>
        <v>0</v>
      </c>
      <c r="G350" s="964"/>
      <c r="H350" s="964"/>
      <c r="I350" s="964"/>
      <c r="J350" s="946"/>
      <c r="K350" s="938"/>
    </row>
    <row r="351" spans="1:226" s="939" customFormat="1" ht="15" hidden="1" customHeight="1">
      <c r="A351" s="1499"/>
      <c r="B351" s="1500"/>
      <c r="C351" s="1501"/>
      <c r="D351" s="1502"/>
      <c r="E351" s="963" t="s">
        <v>454</v>
      </c>
      <c r="F351" s="964">
        <f t="shared" si="15"/>
        <v>0</v>
      </c>
      <c r="G351" s="964"/>
      <c r="H351" s="964"/>
      <c r="I351" s="964"/>
      <c r="J351" s="946"/>
      <c r="K351" s="938"/>
    </row>
    <row r="352" spans="1:226" s="939" customFormat="1" ht="15" hidden="1" customHeight="1">
      <c r="A352" s="1499"/>
      <c r="B352" s="1500"/>
      <c r="C352" s="1501"/>
      <c r="D352" s="1502"/>
      <c r="E352" s="963" t="s">
        <v>317</v>
      </c>
      <c r="F352" s="964">
        <f t="shared" si="15"/>
        <v>0</v>
      </c>
      <c r="G352" s="964"/>
      <c r="H352" s="964"/>
      <c r="I352" s="964"/>
      <c r="J352" s="946"/>
      <c r="K352" s="938"/>
    </row>
    <row r="353" spans="1:226" s="939" customFormat="1" ht="15" hidden="1" customHeight="1">
      <c r="A353" s="1499"/>
      <c r="B353" s="1500"/>
      <c r="C353" s="1501"/>
      <c r="D353" s="1502"/>
      <c r="E353" s="963" t="s">
        <v>318</v>
      </c>
      <c r="F353" s="964">
        <f t="shared" si="15"/>
        <v>0</v>
      </c>
      <c r="G353" s="964"/>
      <c r="H353" s="964"/>
      <c r="I353" s="964"/>
      <c r="J353" s="946"/>
      <c r="K353" s="938"/>
    </row>
    <row r="354" spans="1:226" s="939" customFormat="1" ht="24.95" customHeight="1">
      <c r="A354" s="1499"/>
      <c r="B354" s="1500"/>
      <c r="C354" s="1501"/>
      <c r="D354" s="1502"/>
      <c r="E354" s="966" t="s">
        <v>939</v>
      </c>
      <c r="F354" s="958">
        <f>SUM(F355:F356)</f>
        <v>15294</v>
      </c>
      <c r="G354" s="958">
        <f>SUM(G355:G356)</f>
        <v>2294</v>
      </c>
      <c r="H354" s="958">
        <f>SUM(H355:H356)</f>
        <v>0</v>
      </c>
      <c r="I354" s="958">
        <f>SUM(I355:I356)</f>
        <v>13000</v>
      </c>
      <c r="J354" s="942">
        <f>SUM(J355:J356)</f>
        <v>0</v>
      </c>
      <c r="K354" s="938"/>
    </row>
    <row r="355" spans="1:226" s="939" customFormat="1" ht="15" customHeight="1">
      <c r="A355" s="1499"/>
      <c r="B355" s="1500"/>
      <c r="C355" s="1501"/>
      <c r="D355" s="1502"/>
      <c r="E355" s="963" t="s">
        <v>319</v>
      </c>
      <c r="F355" s="964">
        <f>SUM(G355:J355)</f>
        <v>13000</v>
      </c>
      <c r="G355" s="964"/>
      <c r="H355" s="964"/>
      <c r="I355" s="964">
        <v>13000</v>
      </c>
      <c r="J355" s="946"/>
      <c r="K355" s="938"/>
    </row>
    <row r="356" spans="1:226" s="939" customFormat="1" ht="15" customHeight="1">
      <c r="A356" s="1499"/>
      <c r="B356" s="1500"/>
      <c r="C356" s="1501"/>
      <c r="D356" s="1502"/>
      <c r="E356" s="975">
        <v>6069</v>
      </c>
      <c r="F356" s="964">
        <f>SUM(G356:J356)</f>
        <v>2294</v>
      </c>
      <c r="G356" s="964">
        <v>2294</v>
      </c>
      <c r="H356" s="964"/>
      <c r="I356" s="964"/>
      <c r="J356" s="946"/>
      <c r="K356" s="938"/>
    </row>
    <row r="357" spans="1:226" s="939" customFormat="1" ht="24.95" customHeight="1">
      <c r="A357" s="1499" t="s">
        <v>948</v>
      </c>
      <c r="B357" s="1500" t="s">
        <v>1023</v>
      </c>
      <c r="C357" s="1501">
        <v>853</v>
      </c>
      <c r="D357" s="1502" t="s">
        <v>612</v>
      </c>
      <c r="E357" s="954" t="s">
        <v>937</v>
      </c>
      <c r="F357" s="955">
        <f>SUM(F358,F402)</f>
        <v>9113675</v>
      </c>
      <c r="G357" s="955">
        <f>SUM(G358,G402)</f>
        <v>1367052</v>
      </c>
      <c r="H357" s="955">
        <f>SUM(H358,H402)</f>
        <v>0</v>
      </c>
      <c r="I357" s="955">
        <f>SUM(I358,I402)</f>
        <v>7746623</v>
      </c>
      <c r="J357" s="937">
        <f>SUM(J358,J402)</f>
        <v>0</v>
      </c>
      <c r="K357" s="938"/>
    </row>
    <row r="358" spans="1:226" s="939" customFormat="1" ht="24.95" customHeight="1">
      <c r="A358" s="1499"/>
      <c r="B358" s="1500"/>
      <c r="C358" s="1501"/>
      <c r="D358" s="1502"/>
      <c r="E358" s="957" t="s">
        <v>943</v>
      </c>
      <c r="F358" s="958">
        <f>SUM(F359,F364,F375)</f>
        <v>1457981</v>
      </c>
      <c r="G358" s="958">
        <f>SUM(G359,G364,G375)</f>
        <v>218698</v>
      </c>
      <c r="H358" s="958">
        <f>SUM(H359,H364,H375)</f>
        <v>0</v>
      </c>
      <c r="I358" s="958">
        <f>SUM(I359,I364,I375)</f>
        <v>1239283</v>
      </c>
      <c r="J358" s="942">
        <f>SUM(J359,J364,J375)</f>
        <v>0</v>
      </c>
      <c r="K358" s="938"/>
      <c r="L358" s="938"/>
      <c r="M358" s="938"/>
      <c r="N358" s="938"/>
      <c r="O358" s="938"/>
      <c r="P358" s="938"/>
      <c r="Q358" s="938"/>
      <c r="R358" s="938"/>
      <c r="S358" s="938"/>
      <c r="T358" s="938"/>
      <c r="U358" s="938"/>
      <c r="V358" s="938"/>
      <c r="W358" s="938"/>
      <c r="X358" s="938"/>
      <c r="Y358" s="938"/>
      <c r="Z358" s="938"/>
      <c r="AA358" s="938"/>
      <c r="AB358" s="938"/>
      <c r="AC358" s="938"/>
      <c r="AD358" s="938"/>
      <c r="AE358" s="938"/>
      <c r="AF358" s="938"/>
      <c r="AG358" s="938"/>
      <c r="AH358" s="938"/>
      <c r="AI358" s="938"/>
      <c r="AJ358" s="938"/>
      <c r="AK358" s="938"/>
      <c r="AL358" s="938"/>
      <c r="AM358" s="938"/>
      <c r="AN358" s="938"/>
      <c r="AO358" s="938"/>
      <c r="AP358" s="938"/>
      <c r="AQ358" s="938"/>
      <c r="AR358" s="938"/>
      <c r="AS358" s="938"/>
      <c r="AT358" s="938"/>
      <c r="AU358" s="938"/>
      <c r="AV358" s="938"/>
      <c r="AW358" s="938"/>
      <c r="AX358" s="938"/>
      <c r="AY358" s="938"/>
      <c r="AZ358" s="938"/>
      <c r="BA358" s="938"/>
      <c r="BB358" s="938"/>
      <c r="BC358" s="938"/>
      <c r="BD358" s="938"/>
      <c r="BE358" s="938"/>
      <c r="BF358" s="938"/>
      <c r="BG358" s="938"/>
      <c r="BH358" s="938"/>
      <c r="BI358" s="938"/>
      <c r="BJ358" s="938"/>
      <c r="BK358" s="938"/>
      <c r="BL358" s="938"/>
      <c r="BM358" s="938"/>
      <c r="BN358" s="938"/>
      <c r="BO358" s="938"/>
      <c r="BP358" s="938"/>
      <c r="BQ358" s="938"/>
      <c r="BR358" s="938"/>
      <c r="BS358" s="938"/>
      <c r="BT358" s="938"/>
      <c r="BU358" s="938"/>
      <c r="BV358" s="938"/>
      <c r="BW358" s="938"/>
      <c r="BX358" s="938"/>
      <c r="BY358" s="938"/>
      <c r="BZ358" s="938"/>
      <c r="CA358" s="938"/>
      <c r="CB358" s="938"/>
      <c r="CC358" s="938"/>
      <c r="CD358" s="938"/>
      <c r="CE358" s="938"/>
      <c r="CF358" s="938"/>
      <c r="CG358" s="938"/>
      <c r="CH358" s="938"/>
      <c r="CI358" s="938"/>
      <c r="CJ358" s="938"/>
      <c r="CK358" s="938"/>
      <c r="CL358" s="938"/>
      <c r="CM358" s="938"/>
      <c r="CN358" s="938"/>
      <c r="CO358" s="938"/>
      <c r="CP358" s="938"/>
      <c r="CQ358" s="938"/>
      <c r="CR358" s="938"/>
      <c r="CS358" s="938"/>
      <c r="CT358" s="938"/>
      <c r="CU358" s="938"/>
      <c r="CV358" s="938"/>
      <c r="CW358" s="938"/>
      <c r="CX358" s="938"/>
      <c r="CY358" s="938"/>
      <c r="CZ358" s="938"/>
      <c r="DA358" s="938"/>
      <c r="DB358" s="938"/>
      <c r="DC358" s="938"/>
      <c r="DD358" s="938"/>
      <c r="DE358" s="938"/>
      <c r="DF358" s="938"/>
      <c r="DG358" s="938"/>
      <c r="DH358" s="938"/>
      <c r="DI358" s="938"/>
      <c r="DJ358" s="938"/>
      <c r="DK358" s="938"/>
      <c r="DL358" s="938"/>
      <c r="DM358" s="938"/>
      <c r="DN358" s="938"/>
      <c r="DO358" s="938"/>
      <c r="DP358" s="938"/>
      <c r="DQ358" s="938"/>
      <c r="DR358" s="938"/>
      <c r="DS358" s="938"/>
      <c r="DT358" s="938"/>
      <c r="DU358" s="938"/>
      <c r="DV358" s="938"/>
      <c r="DW358" s="938"/>
      <c r="DX358" s="938"/>
      <c r="DY358" s="938"/>
      <c r="DZ358" s="938"/>
      <c r="EA358" s="938"/>
      <c r="EB358" s="938"/>
      <c r="EC358" s="938"/>
      <c r="ED358" s="938"/>
      <c r="EE358" s="938"/>
      <c r="EF358" s="938"/>
      <c r="EG358" s="938"/>
      <c r="EH358" s="938"/>
      <c r="EI358" s="938"/>
      <c r="EJ358" s="938"/>
      <c r="EK358" s="938"/>
      <c r="EL358" s="938"/>
      <c r="EM358" s="938"/>
      <c r="EN358" s="938"/>
      <c r="EO358" s="938"/>
      <c r="EP358" s="938"/>
      <c r="EQ358" s="938"/>
      <c r="ER358" s="938"/>
      <c r="ES358" s="938"/>
      <c r="ET358" s="938"/>
      <c r="EU358" s="938"/>
      <c r="EV358" s="938"/>
      <c r="EW358" s="938"/>
      <c r="EX358" s="938"/>
      <c r="EY358" s="938"/>
      <c r="EZ358" s="938"/>
      <c r="FA358" s="938"/>
      <c r="FB358" s="938"/>
      <c r="FC358" s="938"/>
      <c r="FD358" s="938"/>
      <c r="FE358" s="938"/>
      <c r="FF358" s="938"/>
      <c r="FG358" s="938"/>
      <c r="FH358" s="938"/>
      <c r="FI358" s="938"/>
      <c r="FJ358" s="938"/>
      <c r="FK358" s="938"/>
      <c r="FL358" s="938"/>
      <c r="FM358" s="938"/>
      <c r="FN358" s="938"/>
      <c r="FO358" s="938"/>
      <c r="FP358" s="938"/>
      <c r="FQ358" s="938"/>
      <c r="FR358" s="938"/>
      <c r="FS358" s="938"/>
      <c r="FT358" s="938"/>
      <c r="FU358" s="938"/>
      <c r="FV358" s="938"/>
      <c r="FW358" s="938"/>
      <c r="FX358" s="938"/>
      <c r="FY358" s="938"/>
      <c r="FZ358" s="938"/>
      <c r="GA358" s="938"/>
      <c r="GB358" s="938"/>
      <c r="GC358" s="938"/>
      <c r="GD358" s="938"/>
      <c r="GE358" s="938"/>
      <c r="GF358" s="938"/>
      <c r="GG358" s="938"/>
      <c r="GH358" s="938"/>
      <c r="GI358" s="938"/>
      <c r="GJ358" s="938"/>
      <c r="GK358" s="938"/>
      <c r="GL358" s="938"/>
      <c r="GM358" s="938"/>
      <c r="GN358" s="938"/>
      <c r="GO358" s="938"/>
      <c r="GP358" s="938"/>
      <c r="GQ358" s="938"/>
      <c r="GR358" s="938"/>
      <c r="GS358" s="938"/>
      <c r="GT358" s="938"/>
      <c r="GU358" s="938"/>
      <c r="GV358" s="938"/>
      <c r="GW358" s="938"/>
      <c r="GX358" s="938"/>
      <c r="GY358" s="938"/>
      <c r="GZ358" s="938"/>
      <c r="HA358" s="938"/>
      <c r="HB358" s="938"/>
      <c r="HC358" s="938"/>
      <c r="HD358" s="938"/>
      <c r="HE358" s="938"/>
      <c r="HF358" s="938"/>
      <c r="HG358" s="938"/>
      <c r="HH358" s="938"/>
      <c r="HI358" s="938"/>
      <c r="HJ358" s="938"/>
      <c r="HK358" s="938"/>
      <c r="HL358" s="938"/>
      <c r="HM358" s="938"/>
      <c r="HN358" s="938"/>
      <c r="HO358" s="938"/>
      <c r="HP358" s="938"/>
      <c r="HQ358" s="938"/>
      <c r="HR358" s="938"/>
    </row>
    <row r="359" spans="1:226" s="939" customFormat="1" ht="24.95" hidden="1" customHeight="1">
      <c r="A359" s="1499"/>
      <c r="B359" s="1500"/>
      <c r="C359" s="1501"/>
      <c r="D359" s="1502"/>
      <c r="E359" s="960" t="s">
        <v>964</v>
      </c>
      <c r="F359" s="961">
        <f>SUM(F360:F363)</f>
        <v>0</v>
      </c>
      <c r="G359" s="961">
        <f>SUM(G360:G363)</f>
        <v>0</v>
      </c>
      <c r="H359" s="961">
        <f>SUM(H360:H363)</f>
        <v>0</v>
      </c>
      <c r="I359" s="961">
        <f>SUM(I360:I363)</f>
        <v>0</v>
      </c>
      <c r="J359" s="951">
        <f>SUM(J360:J363)</f>
        <v>0</v>
      </c>
      <c r="K359" s="938"/>
    </row>
    <row r="360" spans="1:226" s="939" customFormat="1" ht="15" hidden="1" customHeight="1">
      <c r="A360" s="1499"/>
      <c r="B360" s="1500"/>
      <c r="C360" s="1501"/>
      <c r="D360" s="1502"/>
      <c r="E360" s="963" t="s">
        <v>614</v>
      </c>
      <c r="F360" s="964">
        <f>SUM(G360:J360)</f>
        <v>0</v>
      </c>
      <c r="G360" s="964"/>
      <c r="H360" s="964"/>
      <c r="I360" s="964"/>
      <c r="J360" s="946"/>
      <c r="K360" s="938"/>
    </row>
    <row r="361" spans="1:226" s="939" customFormat="1" ht="15" hidden="1" customHeight="1">
      <c r="A361" s="1499"/>
      <c r="B361" s="1500"/>
      <c r="C361" s="1501"/>
      <c r="D361" s="1502"/>
      <c r="E361" s="963" t="s">
        <v>348</v>
      </c>
      <c r="F361" s="964">
        <f>SUM(G361:J361)</f>
        <v>0</v>
      </c>
      <c r="G361" s="964"/>
      <c r="H361" s="964"/>
      <c r="I361" s="964"/>
      <c r="J361" s="946"/>
      <c r="K361" s="938"/>
    </row>
    <row r="362" spans="1:226" s="939" customFormat="1" ht="15" hidden="1" customHeight="1">
      <c r="A362" s="1499"/>
      <c r="B362" s="1500"/>
      <c r="C362" s="1501"/>
      <c r="D362" s="1502"/>
      <c r="E362" s="963" t="s">
        <v>954</v>
      </c>
      <c r="F362" s="964">
        <f>SUM(G362:J362)</f>
        <v>0</v>
      </c>
      <c r="G362" s="964"/>
      <c r="H362" s="964"/>
      <c r="I362" s="964"/>
      <c r="J362" s="946"/>
      <c r="K362" s="938"/>
    </row>
    <row r="363" spans="1:226" s="939" customFormat="1" ht="15" hidden="1" customHeight="1">
      <c r="A363" s="1499"/>
      <c r="B363" s="1500"/>
      <c r="C363" s="1501"/>
      <c r="D363" s="1502"/>
      <c r="E363" s="963" t="s">
        <v>977</v>
      </c>
      <c r="F363" s="964">
        <f>SUM(G363:J363)</f>
        <v>0</v>
      </c>
      <c r="G363" s="964"/>
      <c r="H363" s="964"/>
      <c r="I363" s="964"/>
      <c r="J363" s="946"/>
      <c r="K363" s="938"/>
    </row>
    <row r="364" spans="1:226" s="939" customFormat="1" ht="24.95" customHeight="1">
      <c r="A364" s="1499"/>
      <c r="B364" s="1500"/>
      <c r="C364" s="1501"/>
      <c r="D364" s="1502"/>
      <c r="E364" s="960" t="s">
        <v>944</v>
      </c>
      <c r="F364" s="961">
        <f>SUM(F365:F374)</f>
        <v>1094915</v>
      </c>
      <c r="G364" s="961">
        <f>SUM(G365:G374)</f>
        <v>164238</v>
      </c>
      <c r="H364" s="961">
        <f>SUM(H365:H374)</f>
        <v>0</v>
      </c>
      <c r="I364" s="961">
        <f>SUM(I365:I374)</f>
        <v>930677</v>
      </c>
      <c r="J364" s="951">
        <f>SUM(J365:J374)</f>
        <v>0</v>
      </c>
      <c r="K364" s="938"/>
    </row>
    <row r="365" spans="1:226" s="939" customFormat="1" ht="15" customHeight="1">
      <c r="A365" s="1499"/>
      <c r="B365" s="1500"/>
      <c r="C365" s="1501"/>
      <c r="D365" s="1502"/>
      <c r="E365" s="963" t="s">
        <v>291</v>
      </c>
      <c r="F365" s="964">
        <f t="shared" ref="F365:F374" si="16">SUM(G365:J365)</f>
        <v>774899</v>
      </c>
      <c r="G365" s="964"/>
      <c r="H365" s="964"/>
      <c r="I365" s="964">
        <v>774899</v>
      </c>
      <c r="J365" s="946"/>
      <c r="K365" s="938"/>
    </row>
    <row r="366" spans="1:226" s="939" customFormat="1" ht="15" customHeight="1">
      <c r="A366" s="1499"/>
      <c r="B366" s="1500"/>
      <c r="C366" s="1501"/>
      <c r="D366" s="1502"/>
      <c r="E366" s="963" t="s">
        <v>292</v>
      </c>
      <c r="F366" s="964">
        <f t="shared" si="16"/>
        <v>136747</v>
      </c>
      <c r="G366" s="964">
        <v>136747</v>
      </c>
      <c r="H366" s="964"/>
      <c r="I366" s="964"/>
      <c r="J366" s="946"/>
      <c r="K366" s="938"/>
    </row>
    <row r="367" spans="1:226" s="939" customFormat="1" ht="15" hidden="1" customHeight="1">
      <c r="A367" s="1499"/>
      <c r="B367" s="1500"/>
      <c r="C367" s="1501"/>
      <c r="D367" s="1502"/>
      <c r="E367" s="963" t="s">
        <v>293</v>
      </c>
      <c r="F367" s="964">
        <f t="shared" si="16"/>
        <v>0</v>
      </c>
      <c r="G367" s="964"/>
      <c r="H367" s="964"/>
      <c r="I367" s="964"/>
      <c r="J367" s="946"/>
      <c r="K367" s="938"/>
    </row>
    <row r="368" spans="1:226" s="939" customFormat="1" ht="15" hidden="1" customHeight="1">
      <c r="A368" s="1499"/>
      <c r="B368" s="1500"/>
      <c r="C368" s="1501"/>
      <c r="D368" s="1502"/>
      <c r="E368" s="963" t="s">
        <v>294</v>
      </c>
      <c r="F368" s="964">
        <f t="shared" si="16"/>
        <v>0</v>
      </c>
      <c r="G368" s="964"/>
      <c r="H368" s="964"/>
      <c r="I368" s="964"/>
      <c r="J368" s="946"/>
      <c r="K368" s="938"/>
    </row>
    <row r="369" spans="1:11" s="939" customFormat="1" ht="15" customHeight="1">
      <c r="A369" s="1499"/>
      <c r="B369" s="1500"/>
      <c r="C369" s="1501"/>
      <c r="D369" s="1502"/>
      <c r="E369" s="963" t="s">
        <v>295</v>
      </c>
      <c r="F369" s="964">
        <f t="shared" si="16"/>
        <v>133205</v>
      </c>
      <c r="G369" s="964"/>
      <c r="H369" s="964"/>
      <c r="I369" s="964">
        <v>133205</v>
      </c>
      <c r="J369" s="946"/>
      <c r="K369" s="938"/>
    </row>
    <row r="370" spans="1:11" s="939" customFormat="1" ht="15" customHeight="1">
      <c r="A370" s="1499"/>
      <c r="B370" s="1500"/>
      <c r="C370" s="1501"/>
      <c r="D370" s="1502"/>
      <c r="E370" s="963" t="s">
        <v>296</v>
      </c>
      <c r="F370" s="964">
        <f t="shared" si="16"/>
        <v>23507</v>
      </c>
      <c r="G370" s="964">
        <v>23507</v>
      </c>
      <c r="H370" s="964"/>
      <c r="I370" s="964"/>
      <c r="J370" s="946"/>
      <c r="K370" s="938"/>
    </row>
    <row r="371" spans="1:11" s="939" customFormat="1" ht="15" customHeight="1">
      <c r="A371" s="1499"/>
      <c r="B371" s="1500"/>
      <c r="C371" s="1501"/>
      <c r="D371" s="1502"/>
      <c r="E371" s="963" t="s">
        <v>297</v>
      </c>
      <c r="F371" s="964">
        <f t="shared" si="16"/>
        <v>18982</v>
      </c>
      <c r="G371" s="964"/>
      <c r="H371" s="964"/>
      <c r="I371" s="964">
        <v>18982</v>
      </c>
      <c r="J371" s="946"/>
      <c r="K371" s="938"/>
    </row>
    <row r="372" spans="1:11" s="939" customFormat="1" ht="15" customHeight="1">
      <c r="A372" s="1499"/>
      <c r="B372" s="1500"/>
      <c r="C372" s="1501"/>
      <c r="D372" s="1502"/>
      <c r="E372" s="963" t="s">
        <v>298</v>
      </c>
      <c r="F372" s="964">
        <f t="shared" si="16"/>
        <v>3350</v>
      </c>
      <c r="G372" s="964">
        <v>3350</v>
      </c>
      <c r="H372" s="964"/>
      <c r="I372" s="964"/>
      <c r="J372" s="946"/>
      <c r="K372" s="938"/>
    </row>
    <row r="373" spans="1:11" s="939" customFormat="1" ht="15" customHeight="1">
      <c r="A373" s="1499"/>
      <c r="B373" s="1500"/>
      <c r="C373" s="1501"/>
      <c r="D373" s="1502"/>
      <c r="E373" s="963" t="s">
        <v>299</v>
      </c>
      <c r="F373" s="964">
        <f t="shared" si="16"/>
        <v>3591</v>
      </c>
      <c r="G373" s="964"/>
      <c r="H373" s="964"/>
      <c r="I373" s="964">
        <v>3591</v>
      </c>
      <c r="J373" s="946"/>
      <c r="K373" s="938"/>
    </row>
    <row r="374" spans="1:11" s="939" customFormat="1" ht="15" customHeight="1">
      <c r="A374" s="1499"/>
      <c r="B374" s="1500"/>
      <c r="C374" s="1501"/>
      <c r="D374" s="1502"/>
      <c r="E374" s="963" t="s">
        <v>300</v>
      </c>
      <c r="F374" s="964">
        <f t="shared" si="16"/>
        <v>634</v>
      </c>
      <c r="G374" s="964">
        <v>634</v>
      </c>
      <c r="H374" s="964"/>
      <c r="I374" s="964"/>
      <c r="J374" s="946"/>
      <c r="K374" s="938"/>
    </row>
    <row r="375" spans="1:11" s="939" customFormat="1" ht="24.95" customHeight="1">
      <c r="A375" s="1499"/>
      <c r="B375" s="1500"/>
      <c r="C375" s="1501"/>
      <c r="D375" s="1502"/>
      <c r="E375" s="960" t="s">
        <v>945</v>
      </c>
      <c r="F375" s="961">
        <f>SUM(F376:F401)</f>
        <v>363066</v>
      </c>
      <c r="G375" s="961">
        <f>SUM(G376:G401)</f>
        <v>54460</v>
      </c>
      <c r="H375" s="961">
        <f>SUM(H376:H401)</f>
        <v>0</v>
      </c>
      <c r="I375" s="961">
        <f>SUM(I376:I401)</f>
        <v>308606</v>
      </c>
      <c r="J375" s="951">
        <f>SUM(J376:J401)</f>
        <v>0</v>
      </c>
      <c r="K375" s="938"/>
    </row>
    <row r="376" spans="1:11" s="939" customFormat="1" ht="15" customHeight="1">
      <c r="A376" s="1499"/>
      <c r="B376" s="1500"/>
      <c r="C376" s="1501"/>
      <c r="D376" s="1502"/>
      <c r="E376" s="963" t="s">
        <v>301</v>
      </c>
      <c r="F376" s="964">
        <f t="shared" ref="F376:F401" si="17">SUM(G376:J376)</f>
        <v>59522</v>
      </c>
      <c r="G376" s="964"/>
      <c r="H376" s="964"/>
      <c r="I376" s="964">
        <v>59522</v>
      </c>
      <c r="J376" s="946"/>
      <c r="K376" s="938"/>
    </row>
    <row r="377" spans="1:11" s="939" customFormat="1" ht="15" customHeight="1">
      <c r="A377" s="1499"/>
      <c r="B377" s="1500"/>
      <c r="C377" s="1501"/>
      <c r="D377" s="1502"/>
      <c r="E377" s="963" t="s">
        <v>302</v>
      </c>
      <c r="F377" s="964">
        <f t="shared" si="17"/>
        <v>10504</v>
      </c>
      <c r="G377" s="964">
        <v>10504</v>
      </c>
      <c r="H377" s="964"/>
      <c r="I377" s="964"/>
      <c r="J377" s="946"/>
      <c r="K377" s="938"/>
    </row>
    <row r="378" spans="1:11" s="939" customFormat="1" ht="15" hidden="1" customHeight="1">
      <c r="A378" s="1499"/>
      <c r="B378" s="1500"/>
      <c r="C378" s="1501"/>
      <c r="D378" s="1502"/>
      <c r="E378" s="963" t="s">
        <v>445</v>
      </c>
      <c r="F378" s="964">
        <f t="shared" si="17"/>
        <v>0</v>
      </c>
      <c r="G378" s="964"/>
      <c r="H378" s="964"/>
      <c r="I378" s="964"/>
      <c r="J378" s="946"/>
      <c r="K378" s="938"/>
    </row>
    <row r="379" spans="1:11" s="939" customFormat="1" ht="15" hidden="1" customHeight="1">
      <c r="A379" s="1499"/>
      <c r="B379" s="1500"/>
      <c r="C379" s="1501"/>
      <c r="D379" s="1502"/>
      <c r="E379" s="963" t="s">
        <v>425</v>
      </c>
      <c r="F379" s="964">
        <f t="shared" si="17"/>
        <v>0</v>
      </c>
      <c r="G379" s="964"/>
      <c r="H379" s="964"/>
      <c r="I379" s="964"/>
      <c r="J379" s="946"/>
      <c r="K379" s="938"/>
    </row>
    <row r="380" spans="1:11" s="939" customFormat="1" ht="15" hidden="1" customHeight="1">
      <c r="A380" s="1499"/>
      <c r="B380" s="1500"/>
      <c r="C380" s="1501"/>
      <c r="D380" s="1502"/>
      <c r="E380" s="963" t="s">
        <v>615</v>
      </c>
      <c r="F380" s="964">
        <f t="shared" si="17"/>
        <v>0</v>
      </c>
      <c r="G380" s="964"/>
      <c r="H380" s="964"/>
      <c r="I380" s="964"/>
      <c r="J380" s="946"/>
      <c r="K380" s="938"/>
    </row>
    <row r="381" spans="1:11" s="939" customFormat="1" ht="15" hidden="1" customHeight="1">
      <c r="A381" s="1499"/>
      <c r="B381" s="1500"/>
      <c r="C381" s="1501"/>
      <c r="D381" s="1502"/>
      <c r="E381" s="963" t="s">
        <v>616</v>
      </c>
      <c r="F381" s="964">
        <f t="shared" si="17"/>
        <v>0</v>
      </c>
      <c r="G381" s="964"/>
      <c r="H381" s="964"/>
      <c r="I381" s="964"/>
      <c r="J381" s="946"/>
      <c r="K381" s="938"/>
    </row>
    <row r="382" spans="1:11" s="939" customFormat="1" ht="15" customHeight="1">
      <c r="A382" s="1499"/>
      <c r="B382" s="1500"/>
      <c r="C382" s="1501"/>
      <c r="D382" s="1502"/>
      <c r="E382" s="963" t="s">
        <v>303</v>
      </c>
      <c r="F382" s="964">
        <f t="shared" si="17"/>
        <v>105451</v>
      </c>
      <c r="G382" s="964"/>
      <c r="H382" s="964"/>
      <c r="I382" s="964">
        <v>105451</v>
      </c>
      <c r="J382" s="946"/>
      <c r="K382" s="938"/>
    </row>
    <row r="383" spans="1:11" s="939" customFormat="1" ht="15" customHeight="1">
      <c r="A383" s="1499"/>
      <c r="B383" s="1500"/>
      <c r="C383" s="1501"/>
      <c r="D383" s="1502"/>
      <c r="E383" s="963" t="s">
        <v>304</v>
      </c>
      <c r="F383" s="964">
        <f t="shared" si="17"/>
        <v>18609</v>
      </c>
      <c r="G383" s="964">
        <v>18609</v>
      </c>
      <c r="H383" s="964"/>
      <c r="I383" s="964"/>
      <c r="J383" s="946"/>
      <c r="K383" s="938"/>
    </row>
    <row r="384" spans="1:11" s="939" customFormat="1" ht="15" hidden="1" customHeight="1">
      <c r="A384" s="1499"/>
      <c r="B384" s="1500"/>
      <c r="C384" s="1501"/>
      <c r="D384" s="1502"/>
      <c r="E384" s="963" t="s">
        <v>305</v>
      </c>
      <c r="F384" s="964">
        <f t="shared" si="17"/>
        <v>0</v>
      </c>
      <c r="G384" s="964"/>
      <c r="H384" s="964"/>
      <c r="I384" s="964"/>
      <c r="J384" s="946"/>
      <c r="K384" s="938"/>
    </row>
    <row r="385" spans="1:226" s="939" customFormat="1" ht="15" hidden="1" customHeight="1">
      <c r="A385" s="1499"/>
      <c r="B385" s="1500"/>
      <c r="C385" s="1501"/>
      <c r="D385" s="1502"/>
      <c r="E385" s="963" t="s">
        <v>306</v>
      </c>
      <c r="F385" s="964">
        <f t="shared" si="17"/>
        <v>0</v>
      </c>
      <c r="G385" s="964"/>
      <c r="H385" s="964"/>
      <c r="I385" s="964"/>
      <c r="J385" s="946"/>
      <c r="K385" s="938"/>
    </row>
    <row r="386" spans="1:226" s="939" customFormat="1" ht="15" hidden="1" customHeight="1">
      <c r="A386" s="1499"/>
      <c r="B386" s="1500"/>
      <c r="C386" s="1501"/>
      <c r="D386" s="1502"/>
      <c r="E386" s="963" t="s">
        <v>307</v>
      </c>
      <c r="F386" s="964">
        <f t="shared" si="17"/>
        <v>0</v>
      </c>
      <c r="G386" s="964"/>
      <c r="H386" s="964"/>
      <c r="I386" s="964"/>
      <c r="J386" s="946"/>
      <c r="K386" s="938"/>
    </row>
    <row r="387" spans="1:226" s="939" customFormat="1" ht="15" hidden="1" customHeight="1">
      <c r="A387" s="1499"/>
      <c r="B387" s="1500"/>
      <c r="C387" s="1501"/>
      <c r="D387" s="1502"/>
      <c r="E387" s="963" t="s">
        <v>308</v>
      </c>
      <c r="F387" s="964">
        <f t="shared" si="17"/>
        <v>0</v>
      </c>
      <c r="G387" s="964"/>
      <c r="H387" s="964"/>
      <c r="I387" s="964"/>
      <c r="J387" s="946"/>
      <c r="K387" s="938"/>
    </row>
    <row r="388" spans="1:226" s="939" customFormat="1" ht="15" hidden="1" customHeight="1">
      <c r="A388" s="1499"/>
      <c r="B388" s="1500"/>
      <c r="C388" s="1501"/>
      <c r="D388" s="1502"/>
      <c r="E388" s="963" t="s">
        <v>446</v>
      </c>
      <c r="F388" s="964">
        <f t="shared" si="17"/>
        <v>0</v>
      </c>
      <c r="G388" s="964"/>
      <c r="H388" s="964"/>
      <c r="I388" s="964"/>
      <c r="J388" s="946"/>
      <c r="K388" s="938"/>
    </row>
    <row r="389" spans="1:226" s="939" customFormat="1" ht="15" hidden="1" customHeight="1">
      <c r="A389" s="1499"/>
      <c r="B389" s="1500"/>
      <c r="C389" s="1501"/>
      <c r="D389" s="1502"/>
      <c r="E389" s="963" t="s">
        <v>447</v>
      </c>
      <c r="F389" s="964">
        <f t="shared" si="17"/>
        <v>0</v>
      </c>
      <c r="G389" s="964"/>
      <c r="H389" s="964"/>
      <c r="I389" s="964"/>
      <c r="J389" s="946"/>
      <c r="K389" s="938"/>
    </row>
    <row r="390" spans="1:226" s="934" customFormat="1" ht="15" hidden="1" customHeight="1">
      <c r="A390" s="1499"/>
      <c r="B390" s="1500"/>
      <c r="C390" s="1501"/>
      <c r="D390" s="1502"/>
      <c r="E390" s="963" t="s">
        <v>450</v>
      </c>
      <c r="F390" s="964">
        <f t="shared" si="17"/>
        <v>0</v>
      </c>
      <c r="G390" s="964"/>
      <c r="H390" s="964"/>
      <c r="I390" s="964"/>
      <c r="J390" s="946"/>
    </row>
    <row r="391" spans="1:226" s="930" customFormat="1" ht="15" hidden="1" customHeight="1">
      <c r="A391" s="1499"/>
      <c r="B391" s="1500"/>
      <c r="C391" s="1501"/>
      <c r="D391" s="1502"/>
      <c r="E391" s="963" t="s">
        <v>368</v>
      </c>
      <c r="F391" s="964">
        <f t="shared" si="17"/>
        <v>0</v>
      </c>
      <c r="G391" s="964"/>
      <c r="H391" s="964"/>
      <c r="I391" s="964"/>
      <c r="J391" s="946"/>
    </row>
    <row r="392" spans="1:226" s="939" customFormat="1" ht="15" hidden="1" customHeight="1">
      <c r="A392" s="1499"/>
      <c r="B392" s="1500"/>
      <c r="C392" s="1501"/>
      <c r="D392" s="1502"/>
      <c r="E392" s="963" t="s">
        <v>451</v>
      </c>
      <c r="F392" s="964">
        <f t="shared" si="17"/>
        <v>0</v>
      </c>
      <c r="G392" s="964"/>
      <c r="H392" s="964"/>
      <c r="I392" s="964"/>
      <c r="J392" s="946"/>
      <c r="K392" s="938"/>
      <c r="L392" s="938"/>
      <c r="M392" s="938"/>
      <c r="N392" s="938"/>
      <c r="O392" s="938"/>
      <c r="P392" s="938"/>
      <c r="Q392" s="938"/>
      <c r="R392" s="938"/>
      <c r="S392" s="938"/>
      <c r="T392" s="938"/>
      <c r="U392" s="938"/>
      <c r="V392" s="938"/>
      <c r="W392" s="938"/>
      <c r="X392" s="938"/>
      <c r="Y392" s="938"/>
      <c r="Z392" s="938"/>
      <c r="AA392" s="938"/>
      <c r="AB392" s="938"/>
      <c r="AC392" s="938"/>
      <c r="AD392" s="938"/>
      <c r="AE392" s="938"/>
      <c r="AF392" s="938"/>
      <c r="AG392" s="938"/>
      <c r="AH392" s="938"/>
      <c r="AI392" s="938"/>
      <c r="AJ392" s="938"/>
      <c r="AK392" s="938"/>
      <c r="AL392" s="938"/>
      <c r="AM392" s="938"/>
      <c r="AN392" s="938"/>
      <c r="AO392" s="938"/>
      <c r="AP392" s="938"/>
      <c r="AQ392" s="938"/>
      <c r="AR392" s="938"/>
      <c r="AS392" s="938"/>
      <c r="AT392" s="938"/>
      <c r="AU392" s="938"/>
      <c r="AV392" s="938"/>
      <c r="AW392" s="938"/>
      <c r="AX392" s="938"/>
      <c r="AY392" s="938"/>
      <c r="AZ392" s="938"/>
      <c r="BA392" s="938"/>
      <c r="BB392" s="938"/>
      <c r="BC392" s="938"/>
      <c r="BD392" s="938"/>
      <c r="BE392" s="938"/>
      <c r="BF392" s="938"/>
      <c r="BG392" s="938"/>
      <c r="BH392" s="938"/>
      <c r="BI392" s="938"/>
      <c r="BJ392" s="938"/>
      <c r="BK392" s="938"/>
      <c r="BL392" s="938"/>
      <c r="BM392" s="938"/>
      <c r="BN392" s="938"/>
      <c r="BO392" s="938"/>
      <c r="BP392" s="938"/>
      <c r="BQ392" s="938"/>
      <c r="BR392" s="938"/>
      <c r="BS392" s="938"/>
      <c r="BT392" s="938"/>
      <c r="BU392" s="938"/>
      <c r="BV392" s="938"/>
      <c r="BW392" s="938"/>
      <c r="BX392" s="938"/>
      <c r="BY392" s="938"/>
      <c r="BZ392" s="938"/>
      <c r="CA392" s="938"/>
      <c r="CB392" s="938"/>
      <c r="CC392" s="938"/>
      <c r="CD392" s="938"/>
      <c r="CE392" s="938"/>
      <c r="CF392" s="938"/>
      <c r="CG392" s="938"/>
      <c r="CH392" s="938"/>
      <c r="CI392" s="938"/>
      <c r="CJ392" s="938"/>
      <c r="CK392" s="938"/>
      <c r="CL392" s="938"/>
      <c r="CM392" s="938"/>
      <c r="CN392" s="938"/>
      <c r="CO392" s="938"/>
      <c r="CP392" s="938"/>
      <c r="CQ392" s="938"/>
      <c r="CR392" s="938"/>
      <c r="CS392" s="938"/>
      <c r="CT392" s="938"/>
      <c r="CU392" s="938"/>
      <c r="CV392" s="938"/>
      <c r="CW392" s="938"/>
      <c r="CX392" s="938"/>
      <c r="CY392" s="938"/>
      <c r="CZ392" s="938"/>
      <c r="DA392" s="938"/>
      <c r="DB392" s="938"/>
      <c r="DC392" s="938"/>
      <c r="DD392" s="938"/>
      <c r="DE392" s="938"/>
      <c r="DF392" s="938"/>
      <c r="DG392" s="938"/>
      <c r="DH392" s="938"/>
      <c r="DI392" s="938"/>
      <c r="DJ392" s="938"/>
      <c r="DK392" s="938"/>
      <c r="DL392" s="938"/>
      <c r="DM392" s="938"/>
      <c r="DN392" s="938"/>
      <c r="DO392" s="938"/>
      <c r="DP392" s="938"/>
      <c r="DQ392" s="938"/>
      <c r="DR392" s="938"/>
      <c r="DS392" s="938"/>
      <c r="DT392" s="938"/>
      <c r="DU392" s="938"/>
      <c r="DV392" s="938"/>
      <c r="DW392" s="938"/>
      <c r="DX392" s="938"/>
      <c r="DY392" s="938"/>
      <c r="DZ392" s="938"/>
      <c r="EA392" s="938"/>
      <c r="EB392" s="938"/>
      <c r="EC392" s="938"/>
      <c r="ED392" s="938"/>
      <c r="EE392" s="938"/>
      <c r="EF392" s="938"/>
      <c r="EG392" s="938"/>
      <c r="EH392" s="938"/>
      <c r="EI392" s="938"/>
      <c r="EJ392" s="938"/>
      <c r="EK392" s="938"/>
      <c r="EL392" s="938"/>
      <c r="EM392" s="938"/>
      <c r="EN392" s="938"/>
      <c r="EO392" s="938"/>
      <c r="EP392" s="938"/>
      <c r="EQ392" s="938"/>
      <c r="ER392" s="938"/>
      <c r="ES392" s="938"/>
      <c r="ET392" s="938"/>
      <c r="EU392" s="938"/>
      <c r="EV392" s="938"/>
      <c r="EW392" s="938"/>
      <c r="EX392" s="938"/>
      <c r="EY392" s="938"/>
      <c r="EZ392" s="938"/>
      <c r="FA392" s="938"/>
      <c r="FB392" s="938"/>
      <c r="FC392" s="938"/>
      <c r="FD392" s="938"/>
      <c r="FE392" s="938"/>
      <c r="FF392" s="938"/>
      <c r="FG392" s="938"/>
      <c r="FH392" s="938"/>
      <c r="FI392" s="938"/>
      <c r="FJ392" s="938"/>
      <c r="FK392" s="938"/>
      <c r="FL392" s="938"/>
      <c r="FM392" s="938"/>
      <c r="FN392" s="938"/>
      <c r="FO392" s="938"/>
      <c r="FP392" s="938"/>
      <c r="FQ392" s="938"/>
      <c r="FR392" s="938"/>
      <c r="FS392" s="938"/>
      <c r="FT392" s="938"/>
      <c r="FU392" s="938"/>
      <c r="FV392" s="938"/>
      <c r="FW392" s="938"/>
      <c r="FX392" s="938"/>
      <c r="FY392" s="938"/>
      <c r="FZ392" s="938"/>
      <c r="GA392" s="938"/>
      <c r="GB392" s="938"/>
      <c r="GC392" s="938"/>
      <c r="GD392" s="938"/>
      <c r="GE392" s="938"/>
      <c r="GF392" s="938"/>
      <c r="GG392" s="938"/>
      <c r="GH392" s="938"/>
      <c r="GI392" s="938"/>
      <c r="GJ392" s="938"/>
      <c r="GK392" s="938"/>
      <c r="GL392" s="938"/>
      <c r="GM392" s="938"/>
      <c r="GN392" s="938"/>
      <c r="GO392" s="938"/>
      <c r="GP392" s="938"/>
      <c r="GQ392" s="938"/>
      <c r="GR392" s="938"/>
      <c r="GS392" s="938"/>
      <c r="GT392" s="938"/>
      <c r="GU392" s="938"/>
      <c r="GV392" s="938"/>
      <c r="GW392" s="938"/>
      <c r="GX392" s="938"/>
      <c r="GY392" s="938"/>
      <c r="GZ392" s="938"/>
      <c r="HA392" s="938"/>
      <c r="HB392" s="938"/>
      <c r="HC392" s="938"/>
      <c r="HD392" s="938"/>
      <c r="HE392" s="938"/>
      <c r="HF392" s="938"/>
      <c r="HG392" s="938"/>
      <c r="HH392" s="938"/>
      <c r="HI392" s="938"/>
      <c r="HJ392" s="938"/>
      <c r="HK392" s="938"/>
      <c r="HL392" s="938"/>
      <c r="HM392" s="938"/>
      <c r="HN392" s="938"/>
      <c r="HO392" s="938"/>
      <c r="HP392" s="938"/>
      <c r="HQ392" s="938"/>
      <c r="HR392" s="938"/>
    </row>
    <row r="393" spans="1:226" s="939" customFormat="1" ht="15" hidden="1" customHeight="1">
      <c r="A393" s="1499"/>
      <c r="B393" s="1500"/>
      <c r="C393" s="1501"/>
      <c r="D393" s="1502"/>
      <c r="E393" s="963" t="s">
        <v>452</v>
      </c>
      <c r="F393" s="964">
        <f t="shared" si="17"/>
        <v>0</v>
      </c>
      <c r="G393" s="964"/>
      <c r="H393" s="964"/>
      <c r="I393" s="964"/>
      <c r="J393" s="946"/>
      <c r="K393" s="938"/>
    </row>
    <row r="394" spans="1:226" s="939" customFormat="1" ht="15" hidden="1" customHeight="1">
      <c r="A394" s="1499"/>
      <c r="B394" s="1500"/>
      <c r="C394" s="1501"/>
      <c r="D394" s="1502"/>
      <c r="E394" s="963" t="s">
        <v>309</v>
      </c>
      <c r="F394" s="964">
        <f t="shared" si="17"/>
        <v>0</v>
      </c>
      <c r="G394" s="964"/>
      <c r="H394" s="964"/>
      <c r="I394" s="964"/>
      <c r="J394" s="946"/>
      <c r="K394" s="938"/>
    </row>
    <row r="395" spans="1:226" s="939" customFormat="1" ht="15" hidden="1" customHeight="1">
      <c r="A395" s="1499"/>
      <c r="B395" s="1500"/>
      <c r="C395" s="1501"/>
      <c r="D395" s="1502"/>
      <c r="E395" s="963" t="s">
        <v>310</v>
      </c>
      <c r="F395" s="964">
        <f t="shared" si="17"/>
        <v>0</v>
      </c>
      <c r="G395" s="964"/>
      <c r="H395" s="964"/>
      <c r="I395" s="964"/>
      <c r="J395" s="946"/>
      <c r="K395" s="938"/>
    </row>
    <row r="396" spans="1:226" s="939" customFormat="1" ht="15" hidden="1" customHeight="1">
      <c r="A396" s="1499"/>
      <c r="B396" s="1500"/>
      <c r="C396" s="1501"/>
      <c r="D396" s="1502"/>
      <c r="E396" s="963" t="s">
        <v>313</v>
      </c>
      <c r="F396" s="964">
        <f t="shared" si="17"/>
        <v>0</v>
      </c>
      <c r="G396" s="964"/>
      <c r="H396" s="964"/>
      <c r="I396" s="964"/>
      <c r="J396" s="946"/>
      <c r="K396" s="938"/>
    </row>
    <row r="397" spans="1:226" s="939" customFormat="1" ht="15" hidden="1" customHeight="1">
      <c r="A397" s="1499"/>
      <c r="B397" s="1500"/>
      <c r="C397" s="1501"/>
      <c r="D397" s="1502"/>
      <c r="E397" s="963" t="s">
        <v>314</v>
      </c>
      <c r="F397" s="964">
        <f t="shared" si="17"/>
        <v>0</v>
      </c>
      <c r="G397" s="964"/>
      <c r="H397" s="964"/>
      <c r="I397" s="964"/>
      <c r="J397" s="946"/>
      <c r="K397" s="938"/>
    </row>
    <row r="398" spans="1:226" s="939" customFormat="1" ht="15" hidden="1" customHeight="1">
      <c r="A398" s="1499"/>
      <c r="B398" s="1500"/>
      <c r="C398" s="1501"/>
      <c r="D398" s="1502"/>
      <c r="E398" s="963" t="s">
        <v>453</v>
      </c>
      <c r="F398" s="964">
        <f t="shared" si="17"/>
        <v>0</v>
      </c>
      <c r="G398" s="964"/>
      <c r="H398" s="964"/>
      <c r="I398" s="964"/>
      <c r="J398" s="946"/>
      <c r="K398" s="938"/>
    </row>
    <row r="399" spans="1:226" s="939" customFormat="1" ht="15" hidden="1" customHeight="1">
      <c r="A399" s="1499"/>
      <c r="B399" s="1500"/>
      <c r="C399" s="1501"/>
      <c r="D399" s="1502"/>
      <c r="E399" s="963" t="s">
        <v>454</v>
      </c>
      <c r="F399" s="964">
        <f t="shared" si="17"/>
        <v>0</v>
      </c>
      <c r="G399" s="964"/>
      <c r="H399" s="964"/>
      <c r="I399" s="964"/>
      <c r="J399" s="946"/>
      <c r="K399" s="938"/>
    </row>
    <row r="400" spans="1:226" s="939" customFormat="1" ht="15" customHeight="1">
      <c r="A400" s="1499"/>
      <c r="B400" s="1500"/>
      <c r="C400" s="1501"/>
      <c r="D400" s="1502"/>
      <c r="E400" s="963" t="s">
        <v>317</v>
      </c>
      <c r="F400" s="964">
        <f t="shared" si="17"/>
        <v>143633</v>
      </c>
      <c r="G400" s="964"/>
      <c r="H400" s="964"/>
      <c r="I400" s="964">
        <v>143633</v>
      </c>
      <c r="J400" s="946"/>
      <c r="K400" s="938"/>
    </row>
    <row r="401" spans="1:11" s="939" customFormat="1" ht="15" customHeight="1">
      <c r="A401" s="1499"/>
      <c r="B401" s="1500"/>
      <c r="C401" s="1501"/>
      <c r="D401" s="1502"/>
      <c r="E401" s="963" t="s">
        <v>318</v>
      </c>
      <c r="F401" s="964">
        <f t="shared" si="17"/>
        <v>25347</v>
      </c>
      <c r="G401" s="964">
        <v>25347</v>
      </c>
      <c r="H401" s="964"/>
      <c r="I401" s="964"/>
      <c r="J401" s="946"/>
      <c r="K401" s="938"/>
    </row>
    <row r="402" spans="1:11" s="939" customFormat="1" ht="24.95" customHeight="1">
      <c r="A402" s="1499"/>
      <c r="B402" s="1500"/>
      <c r="C402" s="1501"/>
      <c r="D402" s="1502"/>
      <c r="E402" s="966" t="s">
        <v>939</v>
      </c>
      <c r="F402" s="958">
        <f>SUM(F403:F406)</f>
        <v>7655694</v>
      </c>
      <c r="G402" s="958">
        <f>SUM(G403:G406)</f>
        <v>1148354</v>
      </c>
      <c r="H402" s="958">
        <f>SUM(H403:H406)</f>
        <v>0</v>
      </c>
      <c r="I402" s="958">
        <f>SUM(I403:I406)</f>
        <v>6507340</v>
      </c>
      <c r="J402" s="942">
        <f>SUM(J403:J406)</f>
        <v>0</v>
      </c>
      <c r="K402" s="938"/>
    </row>
    <row r="403" spans="1:11" s="939" customFormat="1" ht="15" customHeight="1">
      <c r="A403" s="1499"/>
      <c r="B403" s="1500"/>
      <c r="C403" s="1501"/>
      <c r="D403" s="1502"/>
      <c r="E403" s="963" t="s">
        <v>617</v>
      </c>
      <c r="F403" s="964">
        <f>SUM(G403:J403)</f>
        <v>6464250</v>
      </c>
      <c r="G403" s="964"/>
      <c r="H403" s="964"/>
      <c r="I403" s="964">
        <v>6464250</v>
      </c>
      <c r="J403" s="946"/>
      <c r="K403" s="938"/>
    </row>
    <row r="404" spans="1:11" s="939" customFormat="1" ht="15" customHeight="1">
      <c r="A404" s="1499"/>
      <c r="B404" s="1500"/>
      <c r="C404" s="1501"/>
      <c r="D404" s="1502"/>
      <c r="E404" s="963" t="s">
        <v>283</v>
      </c>
      <c r="F404" s="964">
        <f t="shared" ref="F404:F405" si="18">SUM(G404:J404)</f>
        <v>1140750</v>
      </c>
      <c r="G404" s="964">
        <v>1140750</v>
      </c>
      <c r="H404" s="964"/>
      <c r="I404" s="964"/>
      <c r="J404" s="946"/>
      <c r="K404" s="938"/>
    </row>
    <row r="405" spans="1:11" s="939" customFormat="1" ht="15" customHeight="1">
      <c r="A405" s="1499"/>
      <c r="B405" s="1500"/>
      <c r="C405" s="1501"/>
      <c r="D405" s="1502"/>
      <c r="E405" s="963" t="s">
        <v>319</v>
      </c>
      <c r="F405" s="964">
        <f t="shared" si="18"/>
        <v>43090</v>
      </c>
      <c r="G405" s="964"/>
      <c r="H405" s="964"/>
      <c r="I405" s="964">
        <v>43090</v>
      </c>
      <c r="J405" s="946"/>
      <c r="K405" s="938"/>
    </row>
    <row r="406" spans="1:11" s="939" customFormat="1" ht="15" customHeight="1" thickBot="1">
      <c r="A406" s="1499"/>
      <c r="B406" s="1500"/>
      <c r="C406" s="1501"/>
      <c r="D406" s="1502"/>
      <c r="E406" s="975">
        <v>6069</v>
      </c>
      <c r="F406" s="964">
        <f>SUM(G406:J406)</f>
        <v>7604</v>
      </c>
      <c r="G406" s="964">
        <v>7604</v>
      </c>
      <c r="H406" s="964"/>
      <c r="I406" s="964"/>
      <c r="J406" s="946"/>
      <c r="K406" s="938"/>
    </row>
    <row r="407" spans="1:11" s="939" customFormat="1" ht="24.95" hidden="1" customHeight="1">
      <c r="A407" s="1023"/>
      <c r="B407" s="1546" t="s">
        <v>1006</v>
      </c>
      <c r="C407" s="1546"/>
      <c r="D407" s="1546"/>
      <c r="E407" s="1546"/>
      <c r="F407" s="1024">
        <f>F409+F450</f>
        <v>0</v>
      </c>
      <c r="G407" s="1024">
        <f t="shared" ref="G407:J407" si="19">G409+G450</f>
        <v>0</v>
      </c>
      <c r="H407" s="1024">
        <f t="shared" si="19"/>
        <v>0</v>
      </c>
      <c r="I407" s="1024">
        <f t="shared" si="19"/>
        <v>0</v>
      </c>
      <c r="J407" s="1025">
        <f t="shared" si="19"/>
        <v>0</v>
      </c>
      <c r="K407" s="938"/>
    </row>
    <row r="408" spans="1:11" s="939" customFormat="1" ht="24.95" hidden="1" customHeight="1">
      <c r="A408" s="1543"/>
      <c r="B408" s="1544"/>
      <c r="C408" s="1544"/>
      <c r="D408" s="1544"/>
      <c r="E408" s="1544"/>
      <c r="F408" s="1544"/>
      <c r="G408" s="1544"/>
      <c r="H408" s="1544"/>
      <c r="I408" s="1544"/>
      <c r="J408" s="1545"/>
      <c r="K408" s="938"/>
    </row>
    <row r="409" spans="1:11" s="939" customFormat="1" ht="24.95" hidden="1" customHeight="1">
      <c r="A409" s="1499"/>
      <c r="B409" s="1500"/>
      <c r="C409" s="1501"/>
      <c r="D409" s="1502"/>
      <c r="E409" s="954" t="s">
        <v>937</v>
      </c>
      <c r="F409" s="955">
        <f>SUM(F410,F447)</f>
        <v>0</v>
      </c>
      <c r="G409" s="955">
        <f>SUM(G410,G447)</f>
        <v>0</v>
      </c>
      <c r="H409" s="955">
        <f>SUM(H410,H447)</f>
        <v>0</v>
      </c>
      <c r="I409" s="955">
        <f>SUM(I410,I447)</f>
        <v>0</v>
      </c>
      <c r="J409" s="937">
        <f>SUM(J410,J447)</f>
        <v>0</v>
      </c>
      <c r="K409" s="938"/>
    </row>
    <row r="410" spans="1:11" s="939" customFormat="1" ht="24.95" hidden="1" customHeight="1">
      <c r="A410" s="1499"/>
      <c r="B410" s="1500"/>
      <c r="C410" s="1501"/>
      <c r="D410" s="1502"/>
      <c r="E410" s="957" t="s">
        <v>943</v>
      </c>
      <c r="F410" s="958">
        <f>SUM(F411,F422)</f>
        <v>0</v>
      </c>
      <c r="G410" s="958">
        <f>SUM(G411,G422)</f>
        <v>0</v>
      </c>
      <c r="H410" s="958">
        <f>SUM(H411,H422)</f>
        <v>0</v>
      </c>
      <c r="I410" s="958">
        <f>SUM(I411,I422)</f>
        <v>0</v>
      </c>
      <c r="J410" s="942">
        <f>SUM(J411,J422)</f>
        <v>0</v>
      </c>
      <c r="K410" s="938"/>
    </row>
    <row r="411" spans="1:11" s="939" customFormat="1" ht="24.95" hidden="1" customHeight="1">
      <c r="A411" s="1499"/>
      <c r="B411" s="1500"/>
      <c r="C411" s="1501"/>
      <c r="D411" s="1502"/>
      <c r="E411" s="960" t="s">
        <v>944</v>
      </c>
      <c r="F411" s="961">
        <f>SUM(F412:F421)</f>
        <v>0</v>
      </c>
      <c r="G411" s="961">
        <f>SUM(G412:G421)</f>
        <v>0</v>
      </c>
      <c r="H411" s="961">
        <f>SUM(H412:H421)</f>
        <v>0</v>
      </c>
      <c r="I411" s="961">
        <f>SUM(I412:I421)</f>
        <v>0</v>
      </c>
      <c r="J411" s="951">
        <f>SUM(J412:J421)</f>
        <v>0</v>
      </c>
      <c r="K411" s="938"/>
    </row>
    <row r="412" spans="1:11" s="939" customFormat="1" ht="15" hidden="1" customHeight="1">
      <c r="A412" s="1499"/>
      <c r="B412" s="1500"/>
      <c r="C412" s="1501"/>
      <c r="D412" s="1502"/>
      <c r="E412" s="963" t="s">
        <v>362</v>
      </c>
      <c r="F412" s="964">
        <f t="shared" ref="F412:F421" si="20">SUM(G412:J412)</f>
        <v>0</v>
      </c>
      <c r="G412" s="964"/>
      <c r="H412" s="964"/>
      <c r="I412" s="964"/>
      <c r="J412" s="946"/>
      <c r="K412" s="938"/>
    </row>
    <row r="413" spans="1:11" s="939" customFormat="1" ht="15" hidden="1" customHeight="1">
      <c r="A413" s="1499"/>
      <c r="B413" s="1500"/>
      <c r="C413" s="1501"/>
      <c r="D413" s="1502"/>
      <c r="E413" s="963" t="s">
        <v>292</v>
      </c>
      <c r="F413" s="964">
        <f t="shared" si="20"/>
        <v>0</v>
      </c>
      <c r="G413" s="964"/>
      <c r="H413" s="964"/>
      <c r="I413" s="964"/>
      <c r="J413" s="946"/>
      <c r="K413" s="938"/>
    </row>
    <row r="414" spans="1:11" s="939" customFormat="1" ht="15" hidden="1" customHeight="1">
      <c r="A414" s="1499"/>
      <c r="B414" s="1500"/>
      <c r="C414" s="1501"/>
      <c r="D414" s="1502"/>
      <c r="E414" s="963" t="s">
        <v>423</v>
      </c>
      <c r="F414" s="964">
        <f t="shared" si="20"/>
        <v>0</v>
      </c>
      <c r="G414" s="964"/>
      <c r="H414" s="964"/>
      <c r="I414" s="964"/>
      <c r="J414" s="946"/>
      <c r="K414" s="938"/>
    </row>
    <row r="415" spans="1:11" s="939" customFormat="1" ht="15" hidden="1" customHeight="1">
      <c r="A415" s="1499"/>
      <c r="B415" s="1500"/>
      <c r="C415" s="1501"/>
      <c r="D415" s="1502"/>
      <c r="E415" s="963" t="s">
        <v>294</v>
      </c>
      <c r="F415" s="964">
        <f t="shared" si="20"/>
        <v>0</v>
      </c>
      <c r="G415" s="964"/>
      <c r="H415" s="964"/>
      <c r="I415" s="964"/>
      <c r="J415" s="946"/>
      <c r="K415" s="938"/>
    </row>
    <row r="416" spans="1:11" s="939" customFormat="1" ht="15" hidden="1" customHeight="1">
      <c r="A416" s="1499"/>
      <c r="B416" s="1500"/>
      <c r="C416" s="1501"/>
      <c r="D416" s="1502"/>
      <c r="E416" s="963" t="s">
        <v>363</v>
      </c>
      <c r="F416" s="964">
        <f t="shared" si="20"/>
        <v>0</v>
      </c>
      <c r="G416" s="964"/>
      <c r="H416" s="964"/>
      <c r="I416" s="964"/>
      <c r="J416" s="946"/>
      <c r="K416" s="938"/>
    </row>
    <row r="417" spans="1:226" s="939" customFormat="1" ht="15" hidden="1" customHeight="1">
      <c r="A417" s="1499"/>
      <c r="B417" s="1500"/>
      <c r="C417" s="1501"/>
      <c r="D417" s="1502"/>
      <c r="E417" s="963" t="s">
        <v>296</v>
      </c>
      <c r="F417" s="964">
        <f t="shared" si="20"/>
        <v>0</v>
      </c>
      <c r="G417" s="964"/>
      <c r="H417" s="964"/>
      <c r="I417" s="964"/>
      <c r="J417" s="946"/>
      <c r="K417" s="938"/>
    </row>
    <row r="418" spans="1:226" s="939" customFormat="1" ht="15" hidden="1" customHeight="1">
      <c r="A418" s="1499"/>
      <c r="B418" s="1500"/>
      <c r="C418" s="1501"/>
      <c r="D418" s="1502"/>
      <c r="E418" s="963" t="s">
        <v>364</v>
      </c>
      <c r="F418" s="964">
        <f t="shared" si="20"/>
        <v>0</v>
      </c>
      <c r="G418" s="964"/>
      <c r="H418" s="964"/>
      <c r="I418" s="964"/>
      <c r="J418" s="946"/>
      <c r="K418" s="938"/>
    </row>
    <row r="419" spans="1:226" s="939" customFormat="1" ht="15" hidden="1" customHeight="1">
      <c r="A419" s="1499"/>
      <c r="B419" s="1500"/>
      <c r="C419" s="1501"/>
      <c r="D419" s="1502"/>
      <c r="E419" s="963" t="s">
        <v>298</v>
      </c>
      <c r="F419" s="964">
        <f t="shared" si="20"/>
        <v>0</v>
      </c>
      <c r="G419" s="964"/>
      <c r="H419" s="964"/>
      <c r="I419" s="964"/>
      <c r="J419" s="946"/>
      <c r="K419" s="938"/>
    </row>
    <row r="420" spans="1:226" s="939" customFormat="1" ht="15" hidden="1" customHeight="1">
      <c r="A420" s="1499"/>
      <c r="B420" s="1500"/>
      <c r="C420" s="1501"/>
      <c r="D420" s="1502"/>
      <c r="E420" s="963" t="s">
        <v>460</v>
      </c>
      <c r="F420" s="964">
        <f t="shared" si="20"/>
        <v>0</v>
      </c>
      <c r="G420" s="964"/>
      <c r="H420" s="964"/>
      <c r="I420" s="964"/>
      <c r="J420" s="946"/>
      <c r="K420" s="938"/>
      <c r="L420" s="938"/>
      <c r="M420" s="938"/>
      <c r="N420" s="938"/>
      <c r="O420" s="938"/>
      <c r="P420" s="938"/>
      <c r="Q420" s="938"/>
      <c r="R420" s="938"/>
      <c r="S420" s="938"/>
      <c r="T420" s="938"/>
      <c r="U420" s="938"/>
      <c r="V420" s="938"/>
      <c r="W420" s="938"/>
      <c r="X420" s="938"/>
      <c r="Y420" s="938"/>
      <c r="Z420" s="938"/>
      <c r="AA420" s="938"/>
      <c r="AB420" s="938"/>
      <c r="AC420" s="938"/>
      <c r="AD420" s="938"/>
      <c r="AE420" s="938"/>
      <c r="AF420" s="938"/>
      <c r="AG420" s="938"/>
      <c r="AH420" s="938"/>
      <c r="AI420" s="938"/>
      <c r="AJ420" s="938"/>
      <c r="AK420" s="938"/>
      <c r="AL420" s="938"/>
      <c r="AM420" s="938"/>
      <c r="AN420" s="938"/>
      <c r="AO420" s="938"/>
      <c r="AP420" s="938"/>
      <c r="AQ420" s="938"/>
      <c r="AR420" s="938"/>
      <c r="AS420" s="938"/>
      <c r="AT420" s="938"/>
      <c r="AU420" s="938"/>
      <c r="AV420" s="938"/>
      <c r="AW420" s="938"/>
      <c r="AX420" s="938"/>
      <c r="AY420" s="938"/>
      <c r="AZ420" s="938"/>
      <c r="BA420" s="938"/>
      <c r="BB420" s="938"/>
      <c r="BC420" s="938"/>
      <c r="BD420" s="938"/>
      <c r="BE420" s="938"/>
      <c r="BF420" s="938"/>
      <c r="BG420" s="938"/>
      <c r="BH420" s="938"/>
      <c r="BI420" s="938"/>
      <c r="BJ420" s="938"/>
      <c r="BK420" s="938"/>
      <c r="BL420" s="938"/>
      <c r="BM420" s="938"/>
      <c r="BN420" s="938"/>
      <c r="BO420" s="938"/>
      <c r="BP420" s="938"/>
      <c r="BQ420" s="938"/>
      <c r="BR420" s="938"/>
      <c r="BS420" s="938"/>
      <c r="BT420" s="938"/>
      <c r="BU420" s="938"/>
      <c r="BV420" s="938"/>
      <c r="BW420" s="938"/>
      <c r="BX420" s="938"/>
      <c r="BY420" s="938"/>
      <c r="BZ420" s="938"/>
      <c r="CA420" s="938"/>
      <c r="CB420" s="938"/>
      <c r="CC420" s="938"/>
      <c r="CD420" s="938"/>
      <c r="CE420" s="938"/>
      <c r="CF420" s="938"/>
      <c r="CG420" s="938"/>
      <c r="CH420" s="938"/>
      <c r="CI420" s="938"/>
      <c r="CJ420" s="938"/>
      <c r="CK420" s="938"/>
      <c r="CL420" s="938"/>
      <c r="CM420" s="938"/>
      <c r="CN420" s="938"/>
      <c r="CO420" s="938"/>
      <c r="CP420" s="938"/>
      <c r="CQ420" s="938"/>
      <c r="CR420" s="938"/>
      <c r="CS420" s="938"/>
      <c r="CT420" s="938"/>
      <c r="CU420" s="938"/>
      <c r="CV420" s="938"/>
      <c r="CW420" s="938"/>
      <c r="CX420" s="938"/>
      <c r="CY420" s="938"/>
      <c r="CZ420" s="938"/>
      <c r="DA420" s="938"/>
      <c r="DB420" s="938"/>
      <c r="DC420" s="938"/>
      <c r="DD420" s="938"/>
      <c r="DE420" s="938"/>
      <c r="DF420" s="938"/>
      <c r="DG420" s="938"/>
      <c r="DH420" s="938"/>
      <c r="DI420" s="938"/>
      <c r="DJ420" s="938"/>
      <c r="DK420" s="938"/>
      <c r="DL420" s="938"/>
      <c r="DM420" s="938"/>
      <c r="DN420" s="938"/>
      <c r="DO420" s="938"/>
      <c r="DP420" s="938"/>
      <c r="DQ420" s="938"/>
      <c r="DR420" s="938"/>
      <c r="DS420" s="938"/>
      <c r="DT420" s="938"/>
      <c r="DU420" s="938"/>
      <c r="DV420" s="938"/>
      <c r="DW420" s="938"/>
      <c r="DX420" s="938"/>
      <c r="DY420" s="938"/>
      <c r="DZ420" s="938"/>
      <c r="EA420" s="938"/>
      <c r="EB420" s="938"/>
      <c r="EC420" s="938"/>
      <c r="ED420" s="938"/>
      <c r="EE420" s="938"/>
      <c r="EF420" s="938"/>
      <c r="EG420" s="938"/>
      <c r="EH420" s="938"/>
      <c r="EI420" s="938"/>
      <c r="EJ420" s="938"/>
      <c r="EK420" s="938"/>
      <c r="EL420" s="938"/>
      <c r="EM420" s="938"/>
      <c r="EN420" s="938"/>
      <c r="EO420" s="938"/>
      <c r="EP420" s="938"/>
      <c r="EQ420" s="938"/>
      <c r="ER420" s="938"/>
      <c r="ES420" s="938"/>
      <c r="ET420" s="938"/>
      <c r="EU420" s="938"/>
      <c r="EV420" s="938"/>
      <c r="EW420" s="938"/>
      <c r="EX420" s="938"/>
      <c r="EY420" s="938"/>
      <c r="EZ420" s="938"/>
      <c r="FA420" s="938"/>
      <c r="FB420" s="938"/>
      <c r="FC420" s="938"/>
      <c r="FD420" s="938"/>
      <c r="FE420" s="938"/>
      <c r="FF420" s="938"/>
      <c r="FG420" s="938"/>
      <c r="FH420" s="938"/>
      <c r="FI420" s="938"/>
      <c r="FJ420" s="938"/>
      <c r="FK420" s="938"/>
      <c r="FL420" s="938"/>
      <c r="FM420" s="938"/>
      <c r="FN420" s="938"/>
      <c r="FO420" s="938"/>
      <c r="FP420" s="938"/>
      <c r="FQ420" s="938"/>
      <c r="FR420" s="938"/>
      <c r="FS420" s="938"/>
      <c r="FT420" s="938"/>
      <c r="FU420" s="938"/>
      <c r="FV420" s="938"/>
      <c r="FW420" s="938"/>
      <c r="FX420" s="938"/>
      <c r="FY420" s="938"/>
      <c r="FZ420" s="938"/>
      <c r="GA420" s="938"/>
      <c r="GB420" s="938"/>
      <c r="GC420" s="938"/>
      <c r="GD420" s="938"/>
      <c r="GE420" s="938"/>
      <c r="GF420" s="938"/>
      <c r="GG420" s="938"/>
      <c r="GH420" s="938"/>
      <c r="GI420" s="938"/>
      <c r="GJ420" s="938"/>
      <c r="GK420" s="938"/>
      <c r="GL420" s="938"/>
      <c r="GM420" s="938"/>
      <c r="GN420" s="938"/>
      <c r="GO420" s="938"/>
      <c r="GP420" s="938"/>
      <c r="GQ420" s="938"/>
      <c r="GR420" s="938"/>
      <c r="GS420" s="938"/>
      <c r="GT420" s="938"/>
      <c r="GU420" s="938"/>
      <c r="GV420" s="938"/>
      <c r="GW420" s="938"/>
      <c r="GX420" s="938"/>
      <c r="GY420" s="938"/>
      <c r="GZ420" s="938"/>
      <c r="HA420" s="938"/>
      <c r="HB420" s="938"/>
      <c r="HC420" s="938"/>
      <c r="HD420" s="938"/>
      <c r="HE420" s="938"/>
      <c r="HF420" s="938"/>
      <c r="HG420" s="938"/>
      <c r="HH420" s="938"/>
      <c r="HI420" s="938"/>
      <c r="HJ420" s="938"/>
      <c r="HK420" s="938"/>
      <c r="HL420" s="938"/>
      <c r="HM420" s="938"/>
      <c r="HN420" s="938"/>
      <c r="HO420" s="938"/>
      <c r="HP420" s="938"/>
      <c r="HQ420" s="938"/>
      <c r="HR420" s="938"/>
    </row>
    <row r="421" spans="1:226" s="939" customFormat="1" ht="15" hidden="1" customHeight="1">
      <c r="A421" s="1499"/>
      <c r="B421" s="1500"/>
      <c r="C421" s="1501"/>
      <c r="D421" s="1502"/>
      <c r="E421" s="963" t="s">
        <v>300</v>
      </c>
      <c r="F421" s="964">
        <f t="shared" si="20"/>
        <v>0</v>
      </c>
      <c r="G421" s="964"/>
      <c r="H421" s="964"/>
      <c r="I421" s="964"/>
      <c r="J421" s="946"/>
      <c r="K421" s="938"/>
    </row>
    <row r="422" spans="1:226" s="939" customFormat="1" ht="24.95" hidden="1" customHeight="1">
      <c r="A422" s="1499"/>
      <c r="B422" s="1500"/>
      <c r="C422" s="1501"/>
      <c r="D422" s="1502"/>
      <c r="E422" s="960" t="s">
        <v>945</v>
      </c>
      <c r="F422" s="961">
        <f>SUM(F423:F446)</f>
        <v>0</v>
      </c>
      <c r="G422" s="961">
        <f>SUM(G423:G446)</f>
        <v>0</v>
      </c>
      <c r="H422" s="961">
        <f>SUM(H423:H446)</f>
        <v>0</v>
      </c>
      <c r="I422" s="961">
        <f>SUM(I423:I446)</f>
        <v>0</v>
      </c>
      <c r="J422" s="951">
        <f>SUM(J423:J446)</f>
        <v>0</v>
      </c>
      <c r="K422" s="938"/>
    </row>
    <row r="423" spans="1:226" s="939" customFormat="1" ht="15" hidden="1" customHeight="1">
      <c r="A423" s="1499"/>
      <c r="B423" s="1500"/>
      <c r="C423" s="1501"/>
      <c r="D423" s="1502"/>
      <c r="E423" s="963" t="s">
        <v>365</v>
      </c>
      <c r="F423" s="964">
        <f t="shared" ref="F423:F446" si="21">SUM(G423:J423)</f>
        <v>0</v>
      </c>
      <c r="G423" s="964"/>
      <c r="H423" s="964"/>
      <c r="I423" s="964"/>
      <c r="J423" s="946"/>
      <c r="K423" s="938"/>
    </row>
    <row r="424" spans="1:226" s="939" customFormat="1" ht="15" hidden="1" customHeight="1">
      <c r="A424" s="1499"/>
      <c r="B424" s="1500"/>
      <c r="C424" s="1501"/>
      <c r="D424" s="1502"/>
      <c r="E424" s="963" t="s">
        <v>302</v>
      </c>
      <c r="F424" s="964">
        <f t="shared" si="21"/>
        <v>0</v>
      </c>
      <c r="G424" s="964"/>
      <c r="H424" s="964"/>
      <c r="I424" s="964"/>
      <c r="J424" s="946"/>
      <c r="K424" s="938"/>
    </row>
    <row r="425" spans="1:226" s="939" customFormat="1" ht="15" hidden="1" customHeight="1">
      <c r="A425" s="1499"/>
      <c r="B425" s="1500"/>
      <c r="C425" s="1501"/>
      <c r="D425" s="1502"/>
      <c r="E425" s="963" t="s">
        <v>424</v>
      </c>
      <c r="F425" s="964">
        <f t="shared" si="21"/>
        <v>0</v>
      </c>
      <c r="G425" s="964"/>
      <c r="H425" s="964"/>
      <c r="I425" s="964"/>
      <c r="J425" s="946"/>
      <c r="K425" s="938"/>
    </row>
    <row r="426" spans="1:226" s="939" customFormat="1" ht="15" hidden="1" customHeight="1">
      <c r="A426" s="1499"/>
      <c r="B426" s="1500"/>
      <c r="C426" s="1501"/>
      <c r="D426" s="1502"/>
      <c r="E426" s="963" t="s">
        <v>425</v>
      </c>
      <c r="F426" s="964">
        <f t="shared" si="21"/>
        <v>0</v>
      </c>
      <c r="G426" s="964"/>
      <c r="H426" s="964"/>
      <c r="I426" s="964"/>
      <c r="J426" s="946"/>
      <c r="K426" s="938"/>
    </row>
    <row r="427" spans="1:226" s="939" customFormat="1" ht="15" hidden="1" customHeight="1">
      <c r="A427" s="1499"/>
      <c r="B427" s="1500"/>
      <c r="C427" s="1501"/>
      <c r="D427" s="1502"/>
      <c r="E427" s="963" t="s">
        <v>619</v>
      </c>
      <c r="F427" s="964">
        <f t="shared" si="21"/>
        <v>0</v>
      </c>
      <c r="G427" s="964"/>
      <c r="H427" s="964"/>
      <c r="I427" s="964"/>
      <c r="J427" s="946"/>
      <c r="K427" s="938"/>
    </row>
    <row r="428" spans="1:226" s="939" customFormat="1" ht="15" hidden="1" customHeight="1">
      <c r="A428" s="1499"/>
      <c r="B428" s="1500"/>
      <c r="C428" s="1501"/>
      <c r="D428" s="1502"/>
      <c r="E428" s="963" t="s">
        <v>616</v>
      </c>
      <c r="F428" s="964">
        <f t="shared" si="21"/>
        <v>0</v>
      </c>
      <c r="G428" s="964"/>
      <c r="H428" s="964"/>
      <c r="I428" s="964"/>
      <c r="J428" s="946"/>
      <c r="K428" s="938"/>
    </row>
    <row r="429" spans="1:226" s="939" customFormat="1" ht="15" hidden="1" customHeight="1">
      <c r="A429" s="1499"/>
      <c r="B429" s="1500"/>
      <c r="C429" s="1501"/>
      <c r="D429" s="1502"/>
      <c r="E429" s="963" t="s">
        <v>366</v>
      </c>
      <c r="F429" s="964">
        <f t="shared" si="21"/>
        <v>0</v>
      </c>
      <c r="G429" s="964"/>
      <c r="H429" s="964"/>
      <c r="I429" s="964"/>
      <c r="J429" s="946"/>
      <c r="K429" s="938"/>
    </row>
    <row r="430" spans="1:226" s="939" customFormat="1" ht="15" hidden="1" customHeight="1">
      <c r="A430" s="1499"/>
      <c r="B430" s="1500"/>
      <c r="C430" s="1501"/>
      <c r="D430" s="1502"/>
      <c r="E430" s="963" t="s">
        <v>304</v>
      </c>
      <c r="F430" s="964">
        <f t="shared" si="21"/>
        <v>0</v>
      </c>
      <c r="G430" s="964"/>
      <c r="H430" s="964"/>
      <c r="I430" s="964"/>
      <c r="J430" s="946"/>
      <c r="K430" s="938"/>
    </row>
    <row r="431" spans="1:226" s="939" customFormat="1" ht="15" hidden="1" customHeight="1">
      <c r="A431" s="1499"/>
      <c r="B431" s="1500"/>
      <c r="C431" s="1501"/>
      <c r="D431" s="1502"/>
      <c r="E431" s="963" t="s">
        <v>426</v>
      </c>
      <c r="F431" s="964">
        <f t="shared" si="21"/>
        <v>0</v>
      </c>
      <c r="G431" s="964"/>
      <c r="H431" s="964"/>
      <c r="I431" s="964"/>
      <c r="J431" s="946"/>
      <c r="K431" s="938"/>
    </row>
    <row r="432" spans="1:226" s="939" customFormat="1" ht="15" hidden="1" customHeight="1">
      <c r="A432" s="1499"/>
      <c r="B432" s="1500"/>
      <c r="C432" s="1501"/>
      <c r="D432" s="1502"/>
      <c r="E432" s="963" t="s">
        <v>306</v>
      </c>
      <c r="F432" s="964">
        <f t="shared" si="21"/>
        <v>0</v>
      </c>
      <c r="G432" s="964"/>
      <c r="H432" s="964"/>
      <c r="I432" s="964"/>
      <c r="J432" s="946"/>
      <c r="K432" s="938"/>
    </row>
    <row r="433" spans="1:12" s="939" customFormat="1" ht="15" hidden="1" customHeight="1">
      <c r="A433" s="1499"/>
      <c r="B433" s="1500"/>
      <c r="C433" s="1501"/>
      <c r="D433" s="1502"/>
      <c r="E433" s="963" t="s">
        <v>461</v>
      </c>
      <c r="F433" s="964">
        <f t="shared" si="21"/>
        <v>0</v>
      </c>
      <c r="G433" s="964"/>
      <c r="H433" s="964"/>
      <c r="I433" s="964"/>
      <c r="J433" s="946"/>
      <c r="K433" s="938"/>
    </row>
    <row r="434" spans="1:12" s="939" customFormat="1" ht="15" hidden="1" customHeight="1">
      <c r="A434" s="1499"/>
      <c r="B434" s="1500"/>
      <c r="C434" s="1501"/>
      <c r="D434" s="1502"/>
      <c r="E434" s="963" t="s">
        <v>447</v>
      </c>
      <c r="F434" s="964">
        <f t="shared" si="21"/>
        <v>0</v>
      </c>
      <c r="G434" s="964"/>
      <c r="H434" s="964"/>
      <c r="I434" s="964"/>
      <c r="J434" s="946"/>
      <c r="K434" s="938"/>
    </row>
    <row r="435" spans="1:12" s="939" customFormat="1" ht="15" hidden="1" customHeight="1">
      <c r="A435" s="1499"/>
      <c r="B435" s="1500"/>
      <c r="C435" s="1501"/>
      <c r="D435" s="1502"/>
      <c r="E435" s="963" t="s">
        <v>367</v>
      </c>
      <c r="F435" s="964">
        <f t="shared" si="21"/>
        <v>0</v>
      </c>
      <c r="G435" s="964"/>
      <c r="H435" s="964"/>
      <c r="I435" s="964"/>
      <c r="J435" s="946"/>
      <c r="K435" s="938"/>
    </row>
    <row r="436" spans="1:12" s="939" customFormat="1" ht="15" hidden="1" customHeight="1">
      <c r="A436" s="1499"/>
      <c r="B436" s="1500"/>
      <c r="C436" s="1501"/>
      <c r="D436" s="1502"/>
      <c r="E436" s="963" t="s">
        <v>368</v>
      </c>
      <c r="F436" s="964">
        <f t="shared" si="21"/>
        <v>0</v>
      </c>
      <c r="G436" s="964"/>
      <c r="H436" s="964"/>
      <c r="I436" s="964"/>
      <c r="J436" s="946"/>
      <c r="K436" s="938"/>
    </row>
    <row r="437" spans="1:12" s="939" customFormat="1" ht="15" hidden="1" customHeight="1">
      <c r="A437" s="1499"/>
      <c r="B437" s="1500"/>
      <c r="C437" s="1501"/>
      <c r="D437" s="1502"/>
      <c r="E437" s="963" t="s">
        <v>462</v>
      </c>
      <c r="F437" s="964">
        <f t="shared" si="21"/>
        <v>0</v>
      </c>
      <c r="G437" s="964"/>
      <c r="H437" s="964"/>
      <c r="I437" s="964"/>
      <c r="J437" s="946"/>
      <c r="K437" s="938"/>
    </row>
    <row r="438" spans="1:12" s="939" customFormat="1" ht="15" hidden="1" customHeight="1">
      <c r="A438" s="1499"/>
      <c r="B438" s="1500"/>
      <c r="C438" s="1501"/>
      <c r="D438" s="1502"/>
      <c r="E438" s="963" t="s">
        <v>452</v>
      </c>
      <c r="F438" s="964">
        <f t="shared" si="21"/>
        <v>0</v>
      </c>
      <c r="G438" s="964"/>
      <c r="H438" s="964"/>
      <c r="I438" s="964"/>
      <c r="J438" s="946"/>
      <c r="K438" s="938"/>
    </row>
    <row r="439" spans="1:12" s="939" customFormat="1" ht="15" hidden="1" customHeight="1">
      <c r="A439" s="1499"/>
      <c r="B439" s="1500"/>
      <c r="C439" s="1501"/>
      <c r="D439" s="1502"/>
      <c r="E439" s="963" t="s">
        <v>392</v>
      </c>
      <c r="F439" s="964">
        <f t="shared" si="21"/>
        <v>0</v>
      </c>
      <c r="G439" s="964"/>
      <c r="H439" s="964"/>
      <c r="I439" s="964"/>
      <c r="J439" s="946"/>
      <c r="K439" s="938"/>
    </row>
    <row r="440" spans="1:12" s="939" customFormat="1" ht="15" hidden="1" customHeight="1">
      <c r="A440" s="1499"/>
      <c r="B440" s="1500"/>
      <c r="C440" s="1501"/>
      <c r="D440" s="1502"/>
      <c r="E440" s="963" t="s">
        <v>310</v>
      </c>
      <c r="F440" s="964">
        <f t="shared" si="21"/>
        <v>0</v>
      </c>
      <c r="G440" s="964"/>
      <c r="H440" s="964"/>
      <c r="I440" s="964"/>
      <c r="J440" s="946"/>
      <c r="K440" s="938"/>
    </row>
    <row r="441" spans="1:12" s="939" customFormat="1" ht="15" hidden="1" customHeight="1">
      <c r="A441" s="1499"/>
      <c r="B441" s="1500"/>
      <c r="C441" s="1501"/>
      <c r="D441" s="1502"/>
      <c r="E441" s="963" t="s">
        <v>428</v>
      </c>
      <c r="F441" s="964">
        <f t="shared" si="21"/>
        <v>0</v>
      </c>
      <c r="G441" s="964"/>
      <c r="H441" s="964"/>
      <c r="I441" s="964"/>
      <c r="J441" s="946"/>
      <c r="K441" s="938"/>
    </row>
    <row r="442" spans="1:12" s="934" customFormat="1" ht="15" hidden="1" customHeight="1">
      <c r="A442" s="1499"/>
      <c r="B442" s="1500"/>
      <c r="C442" s="1501"/>
      <c r="D442" s="1502"/>
      <c r="E442" s="963" t="s">
        <v>429</v>
      </c>
      <c r="F442" s="964">
        <f t="shared" si="21"/>
        <v>0</v>
      </c>
      <c r="G442" s="964"/>
      <c r="H442" s="964"/>
      <c r="I442" s="964"/>
      <c r="J442" s="946"/>
      <c r="L442" s="1026"/>
    </row>
    <row r="443" spans="1:12" ht="15" hidden="1" customHeight="1">
      <c r="A443" s="1499"/>
      <c r="B443" s="1500"/>
      <c r="C443" s="1501"/>
      <c r="D443" s="1502"/>
      <c r="E443" s="963" t="s">
        <v>604</v>
      </c>
      <c r="F443" s="964">
        <f t="shared" si="21"/>
        <v>0</v>
      </c>
      <c r="G443" s="964"/>
      <c r="H443" s="964"/>
      <c r="I443" s="964"/>
      <c r="J443" s="946"/>
    </row>
    <row r="444" spans="1:12" ht="15" hidden="1" customHeight="1">
      <c r="A444" s="1499"/>
      <c r="B444" s="1500"/>
      <c r="C444" s="1501"/>
      <c r="D444" s="1502"/>
      <c r="E444" s="963" t="s">
        <v>1024</v>
      </c>
      <c r="F444" s="964">
        <f t="shared" si="21"/>
        <v>0</v>
      </c>
      <c r="G444" s="964"/>
      <c r="H444" s="964"/>
      <c r="I444" s="964"/>
      <c r="J444" s="946"/>
    </row>
    <row r="445" spans="1:12" ht="15" hidden="1" customHeight="1">
      <c r="A445" s="1499"/>
      <c r="B445" s="1500"/>
      <c r="C445" s="1501"/>
      <c r="D445" s="1502"/>
      <c r="E445" s="963" t="s">
        <v>536</v>
      </c>
      <c r="F445" s="964">
        <f t="shared" si="21"/>
        <v>0</v>
      </c>
      <c r="G445" s="964"/>
      <c r="H445" s="964"/>
      <c r="I445" s="964"/>
      <c r="J445" s="946"/>
      <c r="K445" s="7"/>
    </row>
    <row r="446" spans="1:12" s="622" customFormat="1" ht="15" hidden="1" customHeight="1">
      <c r="A446" s="1499"/>
      <c r="B446" s="1500"/>
      <c r="C446" s="1501"/>
      <c r="D446" s="1502"/>
      <c r="E446" s="963" t="s">
        <v>454</v>
      </c>
      <c r="F446" s="964">
        <f t="shared" si="21"/>
        <v>0</v>
      </c>
      <c r="G446" s="964"/>
      <c r="H446" s="964"/>
      <c r="I446" s="964"/>
      <c r="J446" s="946"/>
      <c r="K446" s="991"/>
    </row>
    <row r="447" spans="1:12" s="622" customFormat="1" ht="24.95" hidden="1" customHeight="1">
      <c r="A447" s="1499"/>
      <c r="B447" s="1500"/>
      <c r="C447" s="1501"/>
      <c r="D447" s="1502"/>
      <c r="E447" s="966" t="s">
        <v>939</v>
      </c>
      <c r="F447" s="958">
        <f>SUM(F448:F449)</f>
        <v>0</v>
      </c>
      <c r="G447" s="958">
        <f>SUM(G448:G449)</f>
        <v>0</v>
      </c>
      <c r="H447" s="958">
        <f>SUM(H448:H449)</f>
        <v>0</v>
      </c>
      <c r="I447" s="958">
        <f>SUM(I448:I449)</f>
        <v>0</v>
      </c>
      <c r="J447" s="942">
        <f>SUM(J448:J449)</f>
        <v>0</v>
      </c>
      <c r="K447" s="991"/>
    </row>
    <row r="448" spans="1:12" s="622" customFormat="1" ht="15" hidden="1" customHeight="1">
      <c r="A448" s="1499"/>
      <c r="B448" s="1500"/>
      <c r="C448" s="1501"/>
      <c r="D448" s="1502"/>
      <c r="E448" s="963"/>
      <c r="F448" s="964">
        <f>SUM(G448:J448)</f>
        <v>0</v>
      </c>
      <c r="G448" s="964"/>
      <c r="H448" s="964"/>
      <c r="I448" s="964"/>
      <c r="J448" s="946"/>
      <c r="K448" s="991"/>
    </row>
    <row r="449" spans="1:11" ht="15" hidden="1" customHeight="1">
      <c r="A449" s="1499"/>
      <c r="B449" s="1500"/>
      <c r="C449" s="1501"/>
      <c r="D449" s="1502"/>
      <c r="E449" s="975"/>
      <c r="F449" s="964">
        <f>SUM(G449:J449)</f>
        <v>0</v>
      </c>
      <c r="G449" s="964"/>
      <c r="H449" s="964"/>
      <c r="I449" s="964"/>
      <c r="J449" s="946"/>
      <c r="K449" s="7"/>
    </row>
    <row r="450" spans="1:11" s="988" customFormat="1" ht="24.95" hidden="1" customHeight="1">
      <c r="A450" s="1499"/>
      <c r="B450" s="1500"/>
      <c r="C450" s="1501"/>
      <c r="D450" s="1502"/>
      <c r="E450" s="954" t="s">
        <v>937</v>
      </c>
      <c r="F450" s="955">
        <f>SUM(F451,F492)</f>
        <v>0</v>
      </c>
      <c r="G450" s="955">
        <f>SUM(G451,G492)</f>
        <v>0</v>
      </c>
      <c r="H450" s="955">
        <f>SUM(H451,H492)</f>
        <v>0</v>
      </c>
      <c r="I450" s="955">
        <f>SUM(I451,I492)</f>
        <v>0</v>
      </c>
      <c r="J450" s="937">
        <f>SUM(J451,J492)</f>
        <v>0</v>
      </c>
      <c r="K450" s="987"/>
    </row>
    <row r="451" spans="1:11" s="988" customFormat="1" ht="24.95" hidden="1" customHeight="1">
      <c r="A451" s="1499"/>
      <c r="B451" s="1500"/>
      <c r="C451" s="1501"/>
      <c r="D451" s="1502"/>
      <c r="E451" s="957" t="s">
        <v>943</v>
      </c>
      <c r="F451" s="958">
        <f>SUM(F452,F463)</f>
        <v>0</v>
      </c>
      <c r="G451" s="958">
        <f>SUM(G452,G463)</f>
        <v>0</v>
      </c>
      <c r="H451" s="958">
        <f>SUM(H452,H463)</f>
        <v>0</v>
      </c>
      <c r="I451" s="958">
        <f>SUM(I452,I463)</f>
        <v>0</v>
      </c>
      <c r="J451" s="942">
        <f>SUM(J452,J463)</f>
        <v>0</v>
      </c>
      <c r="K451" s="989"/>
    </row>
    <row r="452" spans="1:11" ht="24.95" hidden="1" customHeight="1">
      <c r="A452" s="1499"/>
      <c r="B452" s="1500"/>
      <c r="C452" s="1501"/>
      <c r="D452" s="1502"/>
      <c r="E452" s="960" t="s">
        <v>944</v>
      </c>
      <c r="F452" s="961">
        <f>SUM(F453:F462)</f>
        <v>0</v>
      </c>
      <c r="G452" s="961">
        <f>SUM(G453:G462)</f>
        <v>0</v>
      </c>
      <c r="H452" s="961">
        <f>SUM(H453:H462)</f>
        <v>0</v>
      </c>
      <c r="I452" s="961">
        <f>SUM(I453:I462)</f>
        <v>0</v>
      </c>
      <c r="J452" s="951">
        <f>SUM(J453:J462)</f>
        <v>0</v>
      </c>
      <c r="K452" s="990"/>
    </row>
    <row r="453" spans="1:11" s="988" customFormat="1" ht="15" hidden="1" customHeight="1">
      <c r="A453" s="1499"/>
      <c r="B453" s="1500"/>
      <c r="C453" s="1501"/>
      <c r="D453" s="1502"/>
      <c r="E453" s="963" t="s">
        <v>362</v>
      </c>
      <c r="F453" s="964">
        <f t="shared" ref="F453:F462" si="22">SUM(G453:J453)</f>
        <v>0</v>
      </c>
      <c r="G453" s="964"/>
      <c r="H453" s="964"/>
      <c r="I453" s="964"/>
      <c r="J453" s="946"/>
      <c r="K453" s="987"/>
    </row>
    <row r="454" spans="1:11" s="988" customFormat="1" ht="15" hidden="1" customHeight="1">
      <c r="A454" s="1499"/>
      <c r="B454" s="1500"/>
      <c r="C454" s="1501"/>
      <c r="D454" s="1502"/>
      <c r="E454" s="963" t="s">
        <v>292</v>
      </c>
      <c r="F454" s="964">
        <f t="shared" si="22"/>
        <v>0</v>
      </c>
      <c r="G454" s="964"/>
      <c r="H454" s="964"/>
      <c r="I454" s="964"/>
      <c r="J454" s="946"/>
      <c r="K454" s="987"/>
    </row>
    <row r="455" spans="1:11" ht="15" hidden="1" customHeight="1">
      <c r="A455" s="1499"/>
      <c r="B455" s="1500"/>
      <c r="C455" s="1501"/>
      <c r="D455" s="1502"/>
      <c r="E455" s="963" t="s">
        <v>423</v>
      </c>
      <c r="F455" s="964">
        <f t="shared" si="22"/>
        <v>0</v>
      </c>
      <c r="G455" s="964"/>
      <c r="H455" s="964"/>
      <c r="I455" s="964"/>
      <c r="J455" s="946"/>
      <c r="K455" s="7"/>
    </row>
    <row r="456" spans="1:11" s="988" customFormat="1" ht="15" hidden="1" customHeight="1">
      <c r="A456" s="1499"/>
      <c r="B456" s="1500"/>
      <c r="C456" s="1501"/>
      <c r="D456" s="1502"/>
      <c r="E456" s="963" t="s">
        <v>294</v>
      </c>
      <c r="F456" s="964">
        <f t="shared" si="22"/>
        <v>0</v>
      </c>
      <c r="G456" s="964"/>
      <c r="H456" s="964"/>
      <c r="I456" s="964"/>
      <c r="J456" s="946"/>
      <c r="K456" s="987"/>
    </row>
    <row r="457" spans="1:11" s="988" customFormat="1" ht="15" hidden="1" customHeight="1">
      <c r="A457" s="1499"/>
      <c r="B457" s="1500"/>
      <c r="C457" s="1501"/>
      <c r="D457" s="1502"/>
      <c r="E457" s="963" t="s">
        <v>363</v>
      </c>
      <c r="F457" s="964">
        <f t="shared" si="22"/>
        <v>0</v>
      </c>
      <c r="G457" s="964"/>
      <c r="H457" s="964"/>
      <c r="I457" s="964"/>
      <c r="J457" s="946"/>
      <c r="K457" s="987"/>
    </row>
    <row r="458" spans="1:11" ht="15" hidden="1" customHeight="1">
      <c r="A458" s="1499"/>
      <c r="B458" s="1500"/>
      <c r="C458" s="1501"/>
      <c r="D458" s="1502"/>
      <c r="E458" s="963" t="s">
        <v>296</v>
      </c>
      <c r="F458" s="964">
        <f t="shared" si="22"/>
        <v>0</v>
      </c>
      <c r="G458" s="964"/>
      <c r="H458" s="964"/>
      <c r="I458" s="964"/>
      <c r="J458" s="946"/>
      <c r="K458" s="7"/>
    </row>
    <row r="459" spans="1:11" ht="15" hidden="1" customHeight="1">
      <c r="A459" s="1499"/>
      <c r="B459" s="1500"/>
      <c r="C459" s="1501"/>
      <c r="D459" s="1502"/>
      <c r="E459" s="963" t="s">
        <v>364</v>
      </c>
      <c r="F459" s="964">
        <f t="shared" si="22"/>
        <v>0</v>
      </c>
      <c r="G459" s="964"/>
      <c r="H459" s="964"/>
      <c r="I459" s="964"/>
      <c r="J459" s="946"/>
      <c r="K459" s="7"/>
    </row>
    <row r="460" spans="1:11" ht="15" hidden="1" customHeight="1">
      <c r="A460" s="1499"/>
      <c r="B460" s="1500"/>
      <c r="C460" s="1501"/>
      <c r="D460" s="1502"/>
      <c r="E460" s="963" t="s">
        <v>298</v>
      </c>
      <c r="F460" s="964">
        <f t="shared" si="22"/>
        <v>0</v>
      </c>
      <c r="G460" s="964"/>
      <c r="H460" s="964"/>
      <c r="I460" s="964"/>
      <c r="J460" s="946"/>
      <c r="K460" s="7"/>
    </row>
    <row r="461" spans="1:11" s="622" customFormat="1" ht="15" hidden="1" customHeight="1">
      <c r="A461" s="1499"/>
      <c r="B461" s="1500"/>
      <c r="C461" s="1501"/>
      <c r="D461" s="1502"/>
      <c r="E461" s="963" t="s">
        <v>460</v>
      </c>
      <c r="F461" s="964">
        <f t="shared" si="22"/>
        <v>0</v>
      </c>
      <c r="G461" s="964"/>
      <c r="H461" s="964"/>
      <c r="I461" s="964"/>
      <c r="J461" s="946"/>
      <c r="K461" s="991"/>
    </row>
    <row r="462" spans="1:11" ht="15" hidden="1" customHeight="1">
      <c r="A462" s="1499"/>
      <c r="B462" s="1500"/>
      <c r="C462" s="1501"/>
      <c r="D462" s="1502"/>
      <c r="E462" s="963" t="s">
        <v>300</v>
      </c>
      <c r="F462" s="964">
        <f t="shared" si="22"/>
        <v>0</v>
      </c>
      <c r="G462" s="964"/>
      <c r="H462" s="964"/>
      <c r="I462" s="964"/>
      <c r="J462" s="946"/>
      <c r="K462" s="7"/>
    </row>
    <row r="463" spans="1:11" s="988" customFormat="1" ht="24.95" hidden="1" customHeight="1">
      <c r="A463" s="1499"/>
      <c r="B463" s="1500"/>
      <c r="C463" s="1501"/>
      <c r="D463" s="1502"/>
      <c r="E463" s="960" t="s">
        <v>945</v>
      </c>
      <c r="F463" s="961">
        <f>SUM(F464:F491)</f>
        <v>0</v>
      </c>
      <c r="G463" s="961">
        <f>SUM(G464:G491)</f>
        <v>0</v>
      </c>
      <c r="H463" s="961">
        <f>SUM(H464:H491)</f>
        <v>0</v>
      </c>
      <c r="I463" s="961">
        <f>SUM(I464:I491)</f>
        <v>0</v>
      </c>
      <c r="J463" s="951">
        <f>SUM(J464:J491)</f>
        <v>0</v>
      </c>
      <c r="K463" s="987"/>
    </row>
    <row r="464" spans="1:11" s="988" customFormat="1" ht="15" hidden="1" customHeight="1">
      <c r="A464" s="1499"/>
      <c r="B464" s="1500"/>
      <c r="C464" s="1501"/>
      <c r="D464" s="1502"/>
      <c r="E464" s="963" t="s">
        <v>523</v>
      </c>
      <c r="F464" s="964">
        <f t="shared" ref="F464:F491" si="23">SUM(G464:J464)</f>
        <v>0</v>
      </c>
      <c r="G464" s="964"/>
      <c r="H464" s="964"/>
      <c r="I464" s="964"/>
      <c r="J464" s="946"/>
      <c r="K464" s="987"/>
    </row>
    <row r="465" spans="1:11" ht="15" hidden="1" customHeight="1">
      <c r="A465" s="1499"/>
      <c r="B465" s="1500"/>
      <c r="C465" s="1501"/>
      <c r="D465" s="1502"/>
      <c r="E465" s="963" t="s">
        <v>524</v>
      </c>
      <c r="F465" s="964">
        <f t="shared" si="23"/>
        <v>0</v>
      </c>
      <c r="G465" s="964"/>
      <c r="H465" s="964"/>
      <c r="I465" s="964"/>
      <c r="J465" s="946"/>
      <c r="K465" s="7"/>
    </row>
    <row r="466" spans="1:11" s="988" customFormat="1" ht="15" hidden="1" customHeight="1">
      <c r="A466" s="1499"/>
      <c r="B466" s="1500"/>
      <c r="C466" s="1501"/>
      <c r="D466" s="1502"/>
      <c r="E466" s="963" t="s">
        <v>365</v>
      </c>
      <c r="F466" s="964">
        <f t="shared" si="23"/>
        <v>0</v>
      </c>
      <c r="G466" s="964"/>
      <c r="H466" s="964"/>
      <c r="I466" s="964"/>
      <c r="J466" s="946"/>
      <c r="K466" s="987"/>
    </row>
    <row r="467" spans="1:11" s="988" customFormat="1" ht="15" hidden="1" customHeight="1">
      <c r="A467" s="1499"/>
      <c r="B467" s="1500"/>
      <c r="C467" s="1501"/>
      <c r="D467" s="1502"/>
      <c r="E467" s="963" t="s">
        <v>302</v>
      </c>
      <c r="F467" s="964">
        <f t="shared" si="23"/>
        <v>0</v>
      </c>
      <c r="G467" s="964"/>
      <c r="H467" s="964"/>
      <c r="I467" s="964"/>
      <c r="J467" s="946"/>
      <c r="K467" s="987"/>
    </row>
    <row r="468" spans="1:11" ht="15" hidden="1" customHeight="1">
      <c r="A468" s="1499"/>
      <c r="B468" s="1500"/>
      <c r="C468" s="1501"/>
      <c r="D468" s="1502"/>
      <c r="E468" s="963" t="s">
        <v>424</v>
      </c>
      <c r="F468" s="964">
        <f t="shared" si="23"/>
        <v>0</v>
      </c>
      <c r="G468" s="964"/>
      <c r="H468" s="964"/>
      <c r="I468" s="964"/>
      <c r="J468" s="946"/>
      <c r="K468" s="7"/>
    </row>
    <row r="469" spans="1:11" s="988" customFormat="1" ht="15" hidden="1" customHeight="1">
      <c r="A469" s="1499"/>
      <c r="B469" s="1500"/>
      <c r="C469" s="1501"/>
      <c r="D469" s="1502"/>
      <c r="E469" s="963" t="s">
        <v>425</v>
      </c>
      <c r="F469" s="964">
        <f t="shared" si="23"/>
        <v>0</v>
      </c>
      <c r="G469" s="964"/>
      <c r="H469" s="964"/>
      <c r="I469" s="964"/>
      <c r="J469" s="946"/>
      <c r="K469" s="987"/>
    </row>
    <row r="470" spans="1:11" s="988" customFormat="1" ht="15" hidden="1" customHeight="1">
      <c r="A470" s="1499"/>
      <c r="B470" s="1500"/>
      <c r="C470" s="1501"/>
      <c r="D470" s="1502"/>
      <c r="E470" s="963" t="s">
        <v>619</v>
      </c>
      <c r="F470" s="964">
        <f t="shared" si="23"/>
        <v>0</v>
      </c>
      <c r="G470" s="964"/>
      <c r="H470" s="964"/>
      <c r="I470" s="964"/>
      <c r="J470" s="946"/>
      <c r="K470" s="987"/>
    </row>
    <row r="471" spans="1:11" ht="15" hidden="1" customHeight="1">
      <c r="A471" s="1499"/>
      <c r="B471" s="1500"/>
      <c r="C471" s="1501"/>
      <c r="D471" s="1502"/>
      <c r="E471" s="963" t="s">
        <v>616</v>
      </c>
      <c r="F471" s="964">
        <f t="shared" si="23"/>
        <v>0</v>
      </c>
      <c r="G471" s="964"/>
      <c r="H471" s="964"/>
      <c r="I471" s="964"/>
      <c r="J471" s="946"/>
    </row>
    <row r="472" spans="1:11" ht="15" hidden="1" customHeight="1">
      <c r="A472" s="1499"/>
      <c r="B472" s="1500"/>
      <c r="C472" s="1501"/>
      <c r="D472" s="1502"/>
      <c r="E472" s="963" t="s">
        <v>527</v>
      </c>
      <c r="F472" s="964">
        <f t="shared" si="23"/>
        <v>0</v>
      </c>
      <c r="G472" s="964"/>
      <c r="H472" s="964"/>
      <c r="I472" s="964"/>
      <c r="J472" s="946"/>
    </row>
    <row r="473" spans="1:11" ht="15" hidden="1" customHeight="1">
      <c r="A473" s="1499"/>
      <c r="B473" s="1500"/>
      <c r="C473" s="1501"/>
      <c r="D473" s="1502"/>
      <c r="E473" s="963" t="s">
        <v>528</v>
      </c>
      <c r="F473" s="964">
        <f t="shared" si="23"/>
        <v>0</v>
      </c>
      <c r="G473" s="964"/>
      <c r="H473" s="964"/>
      <c r="I473" s="964"/>
      <c r="J473" s="946"/>
    </row>
    <row r="474" spans="1:11" ht="15" hidden="1" customHeight="1">
      <c r="A474" s="1499"/>
      <c r="B474" s="1500"/>
      <c r="C474" s="1501"/>
      <c r="D474" s="1502"/>
      <c r="E474" s="963" t="s">
        <v>366</v>
      </c>
      <c r="F474" s="964">
        <f t="shared" si="23"/>
        <v>0</v>
      </c>
      <c r="G474" s="964"/>
      <c r="H474" s="964"/>
      <c r="I474" s="964"/>
      <c r="J474" s="946"/>
    </row>
    <row r="475" spans="1:11" ht="15" hidden="1" customHeight="1">
      <c r="A475" s="1499"/>
      <c r="B475" s="1500"/>
      <c r="C475" s="1501"/>
      <c r="D475" s="1502"/>
      <c r="E475" s="963" t="s">
        <v>304</v>
      </c>
      <c r="F475" s="964">
        <f t="shared" si="23"/>
        <v>0</v>
      </c>
      <c r="G475" s="964"/>
      <c r="H475" s="964"/>
      <c r="I475" s="964"/>
      <c r="J475" s="946"/>
    </row>
    <row r="476" spans="1:11" ht="15" hidden="1" customHeight="1">
      <c r="A476" s="1499"/>
      <c r="B476" s="1500"/>
      <c r="C476" s="1501"/>
      <c r="D476" s="1502"/>
      <c r="E476" s="963" t="s">
        <v>426</v>
      </c>
      <c r="F476" s="964">
        <f t="shared" si="23"/>
        <v>0</v>
      </c>
      <c r="G476" s="964"/>
      <c r="H476" s="964"/>
      <c r="I476" s="964"/>
      <c r="J476" s="946"/>
    </row>
    <row r="477" spans="1:11" ht="15" hidden="1" customHeight="1">
      <c r="A477" s="1499"/>
      <c r="B477" s="1500"/>
      <c r="C477" s="1501"/>
      <c r="D477" s="1502"/>
      <c r="E477" s="963" t="s">
        <v>306</v>
      </c>
      <c r="F477" s="964">
        <f t="shared" si="23"/>
        <v>0</v>
      </c>
      <c r="G477" s="964"/>
      <c r="H477" s="964"/>
      <c r="I477" s="964"/>
      <c r="J477" s="946"/>
    </row>
    <row r="478" spans="1:11" ht="15" hidden="1" customHeight="1">
      <c r="A478" s="1499"/>
      <c r="B478" s="1500"/>
      <c r="C478" s="1501"/>
      <c r="D478" s="1502"/>
      <c r="E478" s="963" t="s">
        <v>427</v>
      </c>
      <c r="F478" s="964">
        <f t="shared" si="23"/>
        <v>0</v>
      </c>
      <c r="G478" s="964"/>
      <c r="H478" s="964"/>
      <c r="I478" s="964"/>
      <c r="J478" s="946"/>
    </row>
    <row r="479" spans="1:11" ht="15" hidden="1" customHeight="1">
      <c r="A479" s="1499"/>
      <c r="B479" s="1500"/>
      <c r="C479" s="1501"/>
      <c r="D479" s="1502"/>
      <c r="E479" s="963" t="s">
        <v>308</v>
      </c>
      <c r="F479" s="964">
        <f t="shared" si="23"/>
        <v>0</v>
      </c>
      <c r="G479" s="964"/>
      <c r="H479" s="964"/>
      <c r="I479" s="964"/>
      <c r="J479" s="946"/>
    </row>
    <row r="480" spans="1:11" ht="15" hidden="1" customHeight="1">
      <c r="A480" s="1499"/>
      <c r="B480" s="1500"/>
      <c r="C480" s="1501"/>
      <c r="D480" s="1502"/>
      <c r="E480" s="963" t="s">
        <v>461</v>
      </c>
      <c r="F480" s="964">
        <f t="shared" si="23"/>
        <v>0</v>
      </c>
      <c r="G480" s="964"/>
      <c r="H480" s="964"/>
      <c r="I480" s="964"/>
      <c r="J480" s="946"/>
    </row>
    <row r="481" spans="1:10" ht="15" hidden="1" customHeight="1">
      <c r="A481" s="1499"/>
      <c r="B481" s="1500"/>
      <c r="C481" s="1501"/>
      <c r="D481" s="1502"/>
      <c r="E481" s="963" t="s">
        <v>447</v>
      </c>
      <c r="F481" s="964">
        <f t="shared" si="23"/>
        <v>0</v>
      </c>
      <c r="G481" s="964"/>
      <c r="H481" s="964"/>
      <c r="I481" s="964"/>
      <c r="J481" s="946"/>
    </row>
    <row r="482" spans="1:10" ht="15" hidden="1" customHeight="1">
      <c r="A482" s="1499"/>
      <c r="B482" s="1500"/>
      <c r="C482" s="1501"/>
      <c r="D482" s="1502"/>
      <c r="E482" s="963" t="s">
        <v>462</v>
      </c>
      <c r="F482" s="964">
        <f t="shared" si="23"/>
        <v>0</v>
      </c>
      <c r="G482" s="964"/>
      <c r="H482" s="964"/>
      <c r="I482" s="964"/>
      <c r="J482" s="946"/>
    </row>
    <row r="483" spans="1:10" ht="15" hidden="1" customHeight="1">
      <c r="A483" s="1499"/>
      <c r="B483" s="1500"/>
      <c r="C483" s="1501"/>
      <c r="D483" s="1502"/>
      <c r="E483" s="963" t="s">
        <v>452</v>
      </c>
      <c r="F483" s="964">
        <f t="shared" si="23"/>
        <v>0</v>
      </c>
      <c r="G483" s="964"/>
      <c r="H483" s="964"/>
      <c r="I483" s="964"/>
      <c r="J483" s="946"/>
    </row>
    <row r="484" spans="1:10" ht="15" hidden="1" customHeight="1">
      <c r="A484" s="1499"/>
      <c r="B484" s="1500"/>
      <c r="C484" s="1501"/>
      <c r="D484" s="1502"/>
      <c r="E484" s="963" t="s">
        <v>392</v>
      </c>
      <c r="F484" s="964">
        <f t="shared" si="23"/>
        <v>0</v>
      </c>
      <c r="G484" s="964"/>
      <c r="H484" s="964"/>
      <c r="I484" s="964"/>
      <c r="J484" s="946"/>
    </row>
    <row r="485" spans="1:10" ht="15" hidden="1" customHeight="1">
      <c r="A485" s="1499"/>
      <c r="B485" s="1500"/>
      <c r="C485" s="1501"/>
      <c r="D485" s="1502"/>
      <c r="E485" s="963" t="s">
        <v>310</v>
      </c>
      <c r="F485" s="964">
        <f t="shared" si="23"/>
        <v>0</v>
      </c>
      <c r="G485" s="964"/>
      <c r="H485" s="964"/>
      <c r="I485" s="964"/>
      <c r="J485" s="946"/>
    </row>
    <row r="486" spans="1:10" ht="15" hidden="1" customHeight="1">
      <c r="A486" s="1499"/>
      <c r="B486" s="1500"/>
      <c r="C486" s="1501"/>
      <c r="D486" s="1502"/>
      <c r="E486" s="963" t="s">
        <v>620</v>
      </c>
      <c r="F486" s="964">
        <f t="shared" si="23"/>
        <v>0</v>
      </c>
      <c r="G486" s="964"/>
      <c r="H486" s="964"/>
      <c r="I486" s="964"/>
      <c r="J486" s="946"/>
    </row>
    <row r="487" spans="1:10" ht="15" hidden="1" customHeight="1">
      <c r="A487" s="1499"/>
      <c r="B487" s="1500"/>
      <c r="C487" s="1501"/>
      <c r="D487" s="1502"/>
      <c r="E487" s="963" t="s">
        <v>316</v>
      </c>
      <c r="F487" s="964">
        <f t="shared" si="23"/>
        <v>0</v>
      </c>
      <c r="G487" s="964"/>
      <c r="H487" s="964"/>
      <c r="I487" s="964"/>
      <c r="J487" s="946"/>
    </row>
    <row r="488" spans="1:10" ht="15" hidden="1" customHeight="1">
      <c r="A488" s="1499"/>
      <c r="B488" s="1500"/>
      <c r="C488" s="1501"/>
      <c r="D488" s="1502"/>
      <c r="E488" s="963" t="s">
        <v>428</v>
      </c>
      <c r="F488" s="964">
        <f t="shared" si="23"/>
        <v>0</v>
      </c>
      <c r="G488" s="964"/>
      <c r="H488" s="964"/>
      <c r="I488" s="964"/>
      <c r="J488" s="946"/>
    </row>
    <row r="489" spans="1:10" ht="15" hidden="1" customHeight="1">
      <c r="A489" s="1499"/>
      <c r="B489" s="1500"/>
      <c r="C489" s="1501"/>
      <c r="D489" s="1502"/>
      <c r="E489" s="963" t="s">
        <v>429</v>
      </c>
      <c r="F489" s="964">
        <f t="shared" si="23"/>
        <v>0</v>
      </c>
      <c r="G489" s="964"/>
      <c r="H489" s="964"/>
      <c r="I489" s="964"/>
      <c r="J489" s="946"/>
    </row>
    <row r="490" spans="1:10" ht="15" hidden="1" customHeight="1">
      <c r="A490" s="1499"/>
      <c r="B490" s="1500"/>
      <c r="C490" s="1501"/>
      <c r="D490" s="1502"/>
      <c r="E490" s="963" t="s">
        <v>536</v>
      </c>
      <c r="F490" s="964">
        <f t="shared" si="23"/>
        <v>0</v>
      </c>
      <c r="G490" s="964"/>
      <c r="H490" s="964"/>
      <c r="I490" s="964"/>
      <c r="J490" s="946"/>
    </row>
    <row r="491" spans="1:10" ht="15" hidden="1" customHeight="1">
      <c r="A491" s="1499"/>
      <c r="B491" s="1500"/>
      <c r="C491" s="1501"/>
      <c r="D491" s="1502"/>
      <c r="E491" s="963" t="s">
        <v>454</v>
      </c>
      <c r="F491" s="964">
        <f t="shared" si="23"/>
        <v>0</v>
      </c>
      <c r="G491" s="964"/>
      <c r="H491" s="964"/>
      <c r="I491" s="964"/>
      <c r="J491" s="946"/>
    </row>
    <row r="492" spans="1:10" ht="24.95" hidden="1" customHeight="1">
      <c r="A492" s="1499"/>
      <c r="B492" s="1500"/>
      <c r="C492" s="1501"/>
      <c r="D492" s="1502"/>
      <c r="E492" s="966" t="s">
        <v>939</v>
      </c>
      <c r="F492" s="958">
        <f>SUM(F493:F494)</f>
        <v>0</v>
      </c>
      <c r="G492" s="958">
        <f>SUM(G493:G494)</f>
        <v>0</v>
      </c>
      <c r="H492" s="958">
        <f>SUM(H493:H494)</f>
        <v>0</v>
      </c>
      <c r="I492" s="958">
        <f>SUM(I493:I494)</f>
        <v>0</v>
      </c>
      <c r="J492" s="942">
        <f>SUM(J493:J494)</f>
        <v>0</v>
      </c>
    </row>
    <row r="493" spans="1:10" ht="15" hidden="1" customHeight="1">
      <c r="A493" s="1499"/>
      <c r="B493" s="1500"/>
      <c r="C493" s="1501"/>
      <c r="D493" s="1502"/>
      <c r="E493" s="963"/>
      <c r="F493" s="964">
        <f>SUM(G493:J493)</f>
        <v>0</v>
      </c>
      <c r="G493" s="964"/>
      <c r="H493" s="964"/>
      <c r="I493" s="964"/>
      <c r="J493" s="946"/>
    </row>
    <row r="494" spans="1:10" ht="15" hidden="1" customHeight="1" thickBot="1">
      <c r="A494" s="1499"/>
      <c r="B494" s="1500"/>
      <c r="C494" s="1501"/>
      <c r="D494" s="1502"/>
      <c r="E494" s="975"/>
      <c r="F494" s="964">
        <f>SUM(G494:J494)</f>
        <v>0</v>
      </c>
      <c r="G494" s="964"/>
      <c r="H494" s="964"/>
      <c r="I494" s="964"/>
      <c r="J494" s="946"/>
    </row>
    <row r="495" spans="1:10" ht="24.95" hidden="1" customHeight="1">
      <c r="A495" s="1019"/>
      <c r="B495" s="1542" t="s">
        <v>1011</v>
      </c>
      <c r="C495" s="1542"/>
      <c r="D495" s="1542"/>
      <c r="E495" s="1542"/>
      <c r="F495" s="1020">
        <f>F497+F520</f>
        <v>0</v>
      </c>
      <c r="G495" s="1020">
        <f t="shared" ref="G495:J495" si="24">G497+G520</f>
        <v>0</v>
      </c>
      <c r="H495" s="1020">
        <f t="shared" si="24"/>
        <v>0</v>
      </c>
      <c r="I495" s="1020">
        <f t="shared" si="24"/>
        <v>0</v>
      </c>
      <c r="J495" s="1021">
        <f t="shared" si="24"/>
        <v>0</v>
      </c>
    </row>
    <row r="496" spans="1:10" ht="15" hidden="1" customHeight="1">
      <c r="A496" s="1543"/>
      <c r="B496" s="1544"/>
      <c r="C496" s="1544"/>
      <c r="D496" s="1544"/>
      <c r="E496" s="1544"/>
      <c r="F496" s="1544"/>
      <c r="G496" s="1544"/>
      <c r="H496" s="1544"/>
      <c r="I496" s="1544"/>
      <c r="J496" s="1545"/>
    </row>
    <row r="497" spans="1:10" ht="24.95" hidden="1" customHeight="1">
      <c r="A497" s="1499"/>
      <c r="B497" s="1500"/>
      <c r="C497" s="1501">
        <v>801</v>
      </c>
      <c r="D497" s="1502" t="s">
        <v>521</v>
      </c>
      <c r="E497" s="954" t="s">
        <v>937</v>
      </c>
      <c r="F497" s="955">
        <f>SUM(F498,F517)</f>
        <v>0</v>
      </c>
      <c r="G497" s="955">
        <f>SUM(G498,G517)</f>
        <v>0</v>
      </c>
      <c r="H497" s="955">
        <f>SUM(H498,H517)</f>
        <v>0</v>
      </c>
      <c r="I497" s="955">
        <f>SUM(I498,I517)</f>
        <v>0</v>
      </c>
      <c r="J497" s="937">
        <f>SUM(J498,J517)</f>
        <v>0</v>
      </c>
    </row>
    <row r="498" spans="1:10" ht="24.95" hidden="1" customHeight="1">
      <c r="A498" s="1499"/>
      <c r="B498" s="1500"/>
      <c r="C498" s="1501"/>
      <c r="D498" s="1502"/>
      <c r="E498" s="957" t="s">
        <v>943</v>
      </c>
      <c r="F498" s="958">
        <f>SUM(F499,F505)</f>
        <v>0</v>
      </c>
      <c r="G498" s="958">
        <f>SUM(G499,G505)</f>
        <v>0</v>
      </c>
      <c r="H498" s="958">
        <f>SUM(H499,H505)</f>
        <v>0</v>
      </c>
      <c r="I498" s="958">
        <f>SUM(I499,I505)</f>
        <v>0</v>
      </c>
      <c r="J498" s="942">
        <f>SUM(J499,J505)</f>
        <v>0</v>
      </c>
    </row>
    <row r="499" spans="1:10" ht="24.95" hidden="1" customHeight="1">
      <c r="A499" s="1499"/>
      <c r="B499" s="1500"/>
      <c r="C499" s="1501"/>
      <c r="D499" s="1502"/>
      <c r="E499" s="960" t="s">
        <v>944</v>
      </c>
      <c r="F499" s="961">
        <f>SUM(F500:F504)</f>
        <v>0</v>
      </c>
      <c r="G499" s="961">
        <f>SUM(G500:G504)</f>
        <v>0</v>
      </c>
      <c r="H499" s="961">
        <f>SUM(H500:H504)</f>
        <v>0</v>
      </c>
      <c r="I499" s="961">
        <f>SUM(I500:I504)</f>
        <v>0</v>
      </c>
      <c r="J499" s="951">
        <f>SUM(J500:J504)</f>
        <v>0</v>
      </c>
    </row>
    <row r="500" spans="1:10" ht="15" hidden="1" customHeight="1">
      <c r="A500" s="1499"/>
      <c r="B500" s="1500"/>
      <c r="C500" s="1501"/>
      <c r="D500" s="1502"/>
      <c r="E500" s="963" t="s">
        <v>362</v>
      </c>
      <c r="F500" s="964">
        <f>SUM(G500:J500)</f>
        <v>0</v>
      </c>
      <c r="G500" s="964"/>
      <c r="H500" s="964"/>
      <c r="I500" s="964"/>
      <c r="J500" s="946"/>
    </row>
    <row r="501" spans="1:10" ht="15" hidden="1" customHeight="1">
      <c r="A501" s="1499"/>
      <c r="B501" s="1500"/>
      <c r="C501" s="1501"/>
      <c r="D501" s="1502"/>
      <c r="E501" s="963" t="s">
        <v>423</v>
      </c>
      <c r="F501" s="964">
        <f>SUM(G501:J501)</f>
        <v>0</v>
      </c>
      <c r="G501" s="964"/>
      <c r="H501" s="964"/>
      <c r="I501" s="964"/>
      <c r="J501" s="946"/>
    </row>
    <row r="502" spans="1:10" ht="15" hidden="1" customHeight="1">
      <c r="A502" s="1499"/>
      <c r="B502" s="1500"/>
      <c r="C502" s="1501"/>
      <c r="D502" s="1502"/>
      <c r="E502" s="963" t="s">
        <v>363</v>
      </c>
      <c r="F502" s="964">
        <f>SUM(G502:J502)</f>
        <v>0</v>
      </c>
      <c r="G502" s="964"/>
      <c r="H502" s="964"/>
      <c r="I502" s="964"/>
      <c r="J502" s="946"/>
    </row>
    <row r="503" spans="1:10" ht="15" hidden="1" customHeight="1">
      <c r="A503" s="1499"/>
      <c r="B503" s="1500"/>
      <c r="C503" s="1501"/>
      <c r="D503" s="1502"/>
      <c r="E503" s="963" t="s">
        <v>364</v>
      </c>
      <c r="F503" s="964">
        <f>SUM(G503:J503)</f>
        <v>0</v>
      </c>
      <c r="G503" s="964"/>
      <c r="H503" s="964"/>
      <c r="I503" s="964"/>
      <c r="J503" s="946"/>
    </row>
    <row r="504" spans="1:10" ht="15" hidden="1" customHeight="1">
      <c r="A504" s="1499"/>
      <c r="B504" s="1500"/>
      <c r="C504" s="1501"/>
      <c r="D504" s="1502"/>
      <c r="E504" s="963" t="s">
        <v>460</v>
      </c>
      <c r="F504" s="964">
        <f>SUM(G504:J504)</f>
        <v>0</v>
      </c>
      <c r="G504" s="964"/>
      <c r="H504" s="964"/>
      <c r="I504" s="964"/>
      <c r="J504" s="946"/>
    </row>
    <row r="505" spans="1:10" ht="24.95" hidden="1" customHeight="1">
      <c r="A505" s="1499"/>
      <c r="B505" s="1500"/>
      <c r="C505" s="1501"/>
      <c r="D505" s="1502"/>
      <c r="E505" s="960" t="s">
        <v>945</v>
      </c>
      <c r="F505" s="961">
        <f>SUM(F506:F516)</f>
        <v>0</v>
      </c>
      <c r="G505" s="961">
        <f>SUM(G506:G516)</f>
        <v>0</v>
      </c>
      <c r="H505" s="961">
        <f>SUM(H506:H516)</f>
        <v>0</v>
      </c>
      <c r="I505" s="961">
        <f>SUM(I506:I516)</f>
        <v>0</v>
      </c>
      <c r="J505" s="951">
        <f>SUM(J506:J516)</f>
        <v>0</v>
      </c>
    </row>
    <row r="506" spans="1:10" ht="15" hidden="1" customHeight="1">
      <c r="A506" s="1499"/>
      <c r="B506" s="1500"/>
      <c r="C506" s="1501"/>
      <c r="D506" s="1502"/>
      <c r="E506" s="963" t="s">
        <v>523</v>
      </c>
      <c r="F506" s="964">
        <f t="shared" ref="F506:F516" si="25">SUM(G506:J506)</f>
        <v>0</v>
      </c>
      <c r="G506" s="964"/>
      <c r="H506" s="964"/>
      <c r="I506" s="964"/>
      <c r="J506" s="946"/>
    </row>
    <row r="507" spans="1:10" ht="15" hidden="1" customHeight="1">
      <c r="A507" s="1499"/>
      <c r="B507" s="1500"/>
      <c r="C507" s="1501"/>
      <c r="D507" s="1502"/>
      <c r="E507" s="963" t="s">
        <v>365</v>
      </c>
      <c r="F507" s="964">
        <f t="shared" si="25"/>
        <v>0</v>
      </c>
      <c r="G507" s="964"/>
      <c r="H507" s="964"/>
      <c r="I507" s="964"/>
      <c r="J507" s="946"/>
    </row>
    <row r="508" spans="1:10" ht="15" hidden="1" customHeight="1">
      <c r="A508" s="1499"/>
      <c r="B508" s="1500"/>
      <c r="C508" s="1501"/>
      <c r="D508" s="1502"/>
      <c r="E508" s="963" t="s">
        <v>525</v>
      </c>
      <c r="F508" s="964">
        <f t="shared" si="25"/>
        <v>0</v>
      </c>
      <c r="G508" s="964"/>
      <c r="H508" s="964"/>
      <c r="I508" s="964"/>
      <c r="J508" s="946"/>
    </row>
    <row r="509" spans="1:10" ht="15" hidden="1" customHeight="1">
      <c r="A509" s="1499"/>
      <c r="B509" s="1500"/>
      <c r="C509" s="1501"/>
      <c r="D509" s="1502"/>
      <c r="E509" s="963" t="s">
        <v>424</v>
      </c>
      <c r="F509" s="964">
        <f t="shared" si="25"/>
        <v>0</v>
      </c>
      <c r="G509" s="964"/>
      <c r="H509" s="964"/>
      <c r="I509" s="964"/>
      <c r="J509" s="946"/>
    </row>
    <row r="510" spans="1:10" ht="15" hidden="1" customHeight="1">
      <c r="A510" s="1499"/>
      <c r="B510" s="1500"/>
      <c r="C510" s="1501"/>
      <c r="D510" s="1502"/>
      <c r="E510" s="963" t="s">
        <v>527</v>
      </c>
      <c r="F510" s="964">
        <f t="shared" si="25"/>
        <v>0</v>
      </c>
      <c r="G510" s="964"/>
      <c r="H510" s="964"/>
      <c r="I510" s="964"/>
      <c r="J510" s="946"/>
    </row>
    <row r="511" spans="1:10" ht="15" hidden="1" customHeight="1">
      <c r="A511" s="1499"/>
      <c r="B511" s="1500"/>
      <c r="C511" s="1501"/>
      <c r="D511" s="1502"/>
      <c r="E511" s="963" t="s">
        <v>366</v>
      </c>
      <c r="F511" s="964">
        <f t="shared" si="25"/>
        <v>0</v>
      </c>
      <c r="G511" s="964"/>
      <c r="H511" s="964"/>
      <c r="I511" s="964"/>
      <c r="J511" s="946"/>
    </row>
    <row r="512" spans="1:10" ht="15" hidden="1" customHeight="1">
      <c r="A512" s="1499"/>
      <c r="B512" s="1500"/>
      <c r="C512" s="1501"/>
      <c r="D512" s="1502"/>
      <c r="E512" s="963" t="s">
        <v>426</v>
      </c>
      <c r="F512" s="964">
        <f t="shared" si="25"/>
        <v>0</v>
      </c>
      <c r="G512" s="964"/>
      <c r="H512" s="964"/>
      <c r="I512" s="964"/>
      <c r="J512" s="946"/>
    </row>
    <row r="513" spans="1:10" ht="15" hidden="1" customHeight="1">
      <c r="A513" s="1499"/>
      <c r="B513" s="1500"/>
      <c r="C513" s="1501"/>
      <c r="D513" s="1502"/>
      <c r="E513" s="963" t="s">
        <v>427</v>
      </c>
      <c r="F513" s="964">
        <f t="shared" si="25"/>
        <v>0</v>
      </c>
      <c r="G513" s="964"/>
      <c r="H513" s="964"/>
      <c r="I513" s="964"/>
      <c r="J513" s="946"/>
    </row>
    <row r="514" spans="1:10" ht="15" hidden="1" customHeight="1">
      <c r="A514" s="1499"/>
      <c r="B514" s="1500"/>
      <c r="C514" s="1501"/>
      <c r="D514" s="1502"/>
      <c r="E514" s="963" t="s">
        <v>461</v>
      </c>
      <c r="F514" s="964">
        <f t="shared" si="25"/>
        <v>0</v>
      </c>
      <c r="G514" s="964"/>
      <c r="H514" s="964"/>
      <c r="I514" s="964"/>
      <c r="J514" s="946"/>
    </row>
    <row r="515" spans="1:10" ht="15" hidden="1" customHeight="1">
      <c r="A515" s="1499"/>
      <c r="B515" s="1500"/>
      <c r="C515" s="1501"/>
      <c r="D515" s="1502"/>
      <c r="E515" s="963" t="s">
        <v>392</v>
      </c>
      <c r="F515" s="964">
        <f t="shared" si="25"/>
        <v>0</v>
      </c>
      <c r="G515" s="964"/>
      <c r="H515" s="964"/>
      <c r="I515" s="964"/>
      <c r="J515" s="946"/>
    </row>
    <row r="516" spans="1:10" ht="15" hidden="1" customHeight="1">
      <c r="A516" s="1499"/>
      <c r="B516" s="1500"/>
      <c r="C516" s="1501"/>
      <c r="D516" s="1502"/>
      <c r="E516" s="963" t="s">
        <v>428</v>
      </c>
      <c r="F516" s="964">
        <f t="shared" si="25"/>
        <v>0</v>
      </c>
      <c r="G516" s="964"/>
      <c r="H516" s="964"/>
      <c r="I516" s="964"/>
      <c r="J516" s="946"/>
    </row>
    <row r="517" spans="1:10" ht="24.95" hidden="1" customHeight="1">
      <c r="A517" s="1499"/>
      <c r="B517" s="1500"/>
      <c r="C517" s="1501"/>
      <c r="D517" s="1502"/>
      <c r="E517" s="966" t="s">
        <v>939</v>
      </c>
      <c r="F517" s="958">
        <f>SUM(F518:F519)</f>
        <v>0</v>
      </c>
      <c r="G517" s="958">
        <f>SUM(G518:G519)</f>
        <v>0</v>
      </c>
      <c r="H517" s="958">
        <f>SUM(H518:H519)</f>
        <v>0</v>
      </c>
      <c r="I517" s="958">
        <f>SUM(I518:I519)</f>
        <v>0</v>
      </c>
      <c r="J517" s="942">
        <f>SUM(J518:J519)</f>
        <v>0</v>
      </c>
    </row>
    <row r="518" spans="1:10" ht="15" hidden="1" customHeight="1">
      <c r="A518" s="1499"/>
      <c r="B518" s="1500"/>
      <c r="C518" s="1501"/>
      <c r="D518" s="1502"/>
      <c r="E518" s="963"/>
      <c r="F518" s="964">
        <f>SUM(G518:J518)</f>
        <v>0</v>
      </c>
      <c r="G518" s="964"/>
      <c r="H518" s="964"/>
      <c r="I518" s="964"/>
      <c r="J518" s="946"/>
    </row>
    <row r="519" spans="1:10" ht="15" hidden="1" customHeight="1">
      <c r="A519" s="1503"/>
      <c r="B519" s="1504"/>
      <c r="C519" s="1505"/>
      <c r="D519" s="1506"/>
      <c r="E519" s="977"/>
      <c r="F519" s="978">
        <f>SUM(G519:J519)</f>
        <v>0</v>
      </c>
      <c r="G519" s="978"/>
      <c r="H519" s="978"/>
      <c r="I519" s="978"/>
      <c r="J519" s="979"/>
    </row>
    <row r="520" spans="1:10" ht="24.95" hidden="1" customHeight="1">
      <c r="A520" s="1499"/>
      <c r="B520" s="1500"/>
      <c r="C520" s="1501">
        <v>801</v>
      </c>
      <c r="D520" s="1502" t="s">
        <v>521</v>
      </c>
      <c r="E520" s="954" t="s">
        <v>937</v>
      </c>
      <c r="F520" s="955">
        <f>SUM(F521,F549)</f>
        <v>0</v>
      </c>
      <c r="G520" s="955">
        <f>SUM(G521,G549)</f>
        <v>0</v>
      </c>
      <c r="H520" s="955">
        <f>SUM(H521,H549)</f>
        <v>0</v>
      </c>
      <c r="I520" s="955">
        <f>SUM(I521,I549)</f>
        <v>0</v>
      </c>
      <c r="J520" s="937">
        <f>SUM(J521,J549)</f>
        <v>0</v>
      </c>
    </row>
    <row r="521" spans="1:10" ht="24.95" hidden="1" customHeight="1">
      <c r="A521" s="1499"/>
      <c r="B521" s="1500"/>
      <c r="C521" s="1501"/>
      <c r="D521" s="1502"/>
      <c r="E521" s="957" t="s">
        <v>943</v>
      </c>
      <c r="F521" s="958">
        <f>SUM(F522,F525,F536)</f>
        <v>0</v>
      </c>
      <c r="G521" s="958">
        <f>SUM(G522,G525,G536)</f>
        <v>0</v>
      </c>
      <c r="H521" s="958">
        <f>SUM(H522,H525,H536)</f>
        <v>0</v>
      </c>
      <c r="I521" s="958">
        <f>SUM(I522,I525,I536)</f>
        <v>0</v>
      </c>
      <c r="J521" s="942">
        <f>SUM(J522,J525,J536)</f>
        <v>0</v>
      </c>
    </row>
    <row r="522" spans="1:10" ht="24.95" hidden="1" customHeight="1">
      <c r="A522" s="1499"/>
      <c r="B522" s="1500"/>
      <c r="C522" s="1501"/>
      <c r="D522" s="1502"/>
      <c r="E522" s="960" t="s">
        <v>964</v>
      </c>
      <c r="F522" s="961">
        <f>SUM(F523:F524)</f>
        <v>0</v>
      </c>
      <c r="G522" s="961">
        <f>SUM(G523:G524)</f>
        <v>0</v>
      </c>
      <c r="H522" s="961">
        <f>SUM(H523:H524)</f>
        <v>0</v>
      </c>
      <c r="I522" s="961">
        <f>SUM(I523:I524)</f>
        <v>0</v>
      </c>
      <c r="J522" s="951">
        <f>SUM(J523:J524)</f>
        <v>0</v>
      </c>
    </row>
    <row r="523" spans="1:10" ht="15" hidden="1" customHeight="1">
      <c r="A523" s="1499"/>
      <c r="B523" s="1500"/>
      <c r="C523" s="1501"/>
      <c r="D523" s="1502"/>
      <c r="E523" s="976" t="s">
        <v>422</v>
      </c>
      <c r="F523" s="964">
        <f>SUM(G523:J523)</f>
        <v>0</v>
      </c>
      <c r="G523" s="964"/>
      <c r="H523" s="964"/>
      <c r="I523" s="964"/>
      <c r="J523" s="946"/>
    </row>
    <row r="524" spans="1:10" ht="15" hidden="1" customHeight="1">
      <c r="A524" s="1499"/>
      <c r="B524" s="1500"/>
      <c r="C524" s="1501"/>
      <c r="D524" s="1502"/>
      <c r="E524" s="976" t="s">
        <v>348</v>
      </c>
      <c r="F524" s="964">
        <f>SUM(G524:J524)</f>
        <v>0</v>
      </c>
      <c r="G524" s="964"/>
      <c r="H524" s="964"/>
      <c r="I524" s="964"/>
      <c r="J524" s="946"/>
    </row>
    <row r="525" spans="1:10" ht="24.95" hidden="1" customHeight="1">
      <c r="A525" s="1499"/>
      <c r="B525" s="1500"/>
      <c r="C525" s="1501"/>
      <c r="D525" s="1502"/>
      <c r="E525" s="960" t="s">
        <v>944</v>
      </c>
      <c r="F525" s="961">
        <f>SUM(F526:F535)</f>
        <v>0</v>
      </c>
      <c r="G525" s="961">
        <f>SUM(G526:G535)</f>
        <v>0</v>
      </c>
      <c r="H525" s="961">
        <f>SUM(H526:H535)</f>
        <v>0</v>
      </c>
      <c r="I525" s="961">
        <f>SUM(I526:I535)</f>
        <v>0</v>
      </c>
      <c r="J525" s="951">
        <f>SUM(J526:J535)</f>
        <v>0</v>
      </c>
    </row>
    <row r="526" spans="1:10" ht="15" hidden="1" customHeight="1">
      <c r="A526" s="1499"/>
      <c r="B526" s="1500"/>
      <c r="C526" s="1501"/>
      <c r="D526" s="1502"/>
      <c r="E526" s="963" t="s">
        <v>362</v>
      </c>
      <c r="F526" s="964">
        <f t="shared" ref="F526:F535" si="26">SUM(G526:J526)</f>
        <v>0</v>
      </c>
      <c r="G526" s="964"/>
      <c r="H526" s="964"/>
      <c r="I526" s="964"/>
      <c r="J526" s="946"/>
    </row>
    <row r="527" spans="1:10" ht="15" hidden="1" customHeight="1">
      <c r="A527" s="1499"/>
      <c r="B527" s="1500"/>
      <c r="C527" s="1501"/>
      <c r="D527" s="1502"/>
      <c r="E527" s="963" t="s">
        <v>292</v>
      </c>
      <c r="F527" s="964">
        <f t="shared" si="26"/>
        <v>0</v>
      </c>
      <c r="G527" s="964"/>
      <c r="H527" s="964"/>
      <c r="I527" s="964"/>
      <c r="J527" s="946"/>
    </row>
    <row r="528" spans="1:10" ht="15" hidden="1" customHeight="1">
      <c r="A528" s="1499"/>
      <c r="B528" s="1500"/>
      <c r="C528" s="1501"/>
      <c r="D528" s="1502"/>
      <c r="E528" s="963" t="s">
        <v>423</v>
      </c>
      <c r="F528" s="964">
        <f t="shared" si="26"/>
        <v>0</v>
      </c>
      <c r="G528" s="964"/>
      <c r="H528" s="964"/>
      <c r="I528" s="964"/>
      <c r="J528" s="946"/>
    </row>
    <row r="529" spans="1:10" ht="15" hidden="1" customHeight="1">
      <c r="A529" s="1499"/>
      <c r="B529" s="1500"/>
      <c r="C529" s="1501"/>
      <c r="D529" s="1502"/>
      <c r="E529" s="963" t="s">
        <v>294</v>
      </c>
      <c r="F529" s="964">
        <f t="shared" si="26"/>
        <v>0</v>
      </c>
      <c r="G529" s="964"/>
      <c r="H529" s="964"/>
      <c r="I529" s="964"/>
      <c r="J529" s="946"/>
    </row>
    <row r="530" spans="1:10" ht="15" hidden="1" customHeight="1">
      <c r="A530" s="1499"/>
      <c r="B530" s="1500"/>
      <c r="C530" s="1501"/>
      <c r="D530" s="1502"/>
      <c r="E530" s="963" t="s">
        <v>363</v>
      </c>
      <c r="F530" s="964">
        <f t="shared" si="26"/>
        <v>0</v>
      </c>
      <c r="G530" s="964"/>
      <c r="H530" s="964"/>
      <c r="I530" s="964"/>
      <c r="J530" s="946"/>
    </row>
    <row r="531" spans="1:10" ht="15" hidden="1" customHeight="1">
      <c r="A531" s="1499"/>
      <c r="B531" s="1500"/>
      <c r="C531" s="1501"/>
      <c r="D531" s="1502"/>
      <c r="E531" s="963" t="s">
        <v>296</v>
      </c>
      <c r="F531" s="964">
        <f t="shared" si="26"/>
        <v>0</v>
      </c>
      <c r="G531" s="964"/>
      <c r="H531" s="964"/>
      <c r="I531" s="964"/>
      <c r="J531" s="946"/>
    </row>
    <row r="532" spans="1:10" ht="15" hidden="1" customHeight="1">
      <c r="A532" s="1499"/>
      <c r="B532" s="1500"/>
      <c r="C532" s="1501"/>
      <c r="D532" s="1502"/>
      <c r="E532" s="963" t="s">
        <v>364</v>
      </c>
      <c r="F532" s="964">
        <f t="shared" si="26"/>
        <v>0</v>
      </c>
      <c r="G532" s="964"/>
      <c r="H532" s="964"/>
      <c r="I532" s="964"/>
      <c r="J532" s="946"/>
    </row>
    <row r="533" spans="1:10" ht="15" hidden="1" customHeight="1">
      <c r="A533" s="1499"/>
      <c r="B533" s="1500"/>
      <c r="C533" s="1501"/>
      <c r="D533" s="1502"/>
      <c r="E533" s="963" t="s">
        <v>298</v>
      </c>
      <c r="F533" s="964">
        <f t="shared" si="26"/>
        <v>0</v>
      </c>
      <c r="G533" s="964"/>
      <c r="H533" s="964"/>
      <c r="I533" s="964"/>
      <c r="J533" s="946"/>
    </row>
    <row r="534" spans="1:10" ht="15" hidden="1" customHeight="1">
      <c r="A534" s="1499"/>
      <c r="B534" s="1500"/>
      <c r="C534" s="1501"/>
      <c r="D534" s="1502"/>
      <c r="E534" s="963" t="s">
        <v>460</v>
      </c>
      <c r="F534" s="964">
        <f t="shared" si="26"/>
        <v>0</v>
      </c>
      <c r="G534" s="964"/>
      <c r="H534" s="964"/>
      <c r="I534" s="964"/>
      <c r="J534" s="946"/>
    </row>
    <row r="535" spans="1:10" ht="15" hidden="1" customHeight="1">
      <c r="A535" s="1499"/>
      <c r="B535" s="1500"/>
      <c r="C535" s="1501"/>
      <c r="D535" s="1502"/>
      <c r="E535" s="963" t="s">
        <v>300</v>
      </c>
      <c r="F535" s="964">
        <f t="shared" si="26"/>
        <v>0</v>
      </c>
      <c r="G535" s="964"/>
      <c r="H535" s="964"/>
      <c r="I535" s="964"/>
      <c r="J535" s="946"/>
    </row>
    <row r="536" spans="1:10" ht="24.95" hidden="1" customHeight="1">
      <c r="A536" s="1499"/>
      <c r="B536" s="1500"/>
      <c r="C536" s="1501"/>
      <c r="D536" s="1502"/>
      <c r="E536" s="960" t="s">
        <v>945</v>
      </c>
      <c r="F536" s="961">
        <f>SUM(F537:F548)</f>
        <v>0</v>
      </c>
      <c r="G536" s="961">
        <f>SUM(G537:G548)</f>
        <v>0</v>
      </c>
      <c r="H536" s="961">
        <f>SUM(H537:H548)</f>
        <v>0</v>
      </c>
      <c r="I536" s="961">
        <f>SUM(I537:I548)</f>
        <v>0</v>
      </c>
      <c r="J536" s="951">
        <f>SUM(J537:J548)</f>
        <v>0</v>
      </c>
    </row>
    <row r="537" spans="1:10" s="939" customFormat="1" ht="15" hidden="1" customHeight="1">
      <c r="A537" s="1499"/>
      <c r="B537" s="1500"/>
      <c r="C537" s="1501"/>
      <c r="D537" s="1502"/>
      <c r="E537" s="976" t="s">
        <v>523</v>
      </c>
      <c r="F537" s="964">
        <f t="shared" ref="F537:F548" si="27">SUM(G537:J537)</f>
        <v>0</v>
      </c>
      <c r="G537" s="964"/>
      <c r="H537" s="964"/>
      <c r="I537" s="964"/>
      <c r="J537" s="946"/>
    </row>
    <row r="538" spans="1:10" s="939" customFormat="1" ht="15" hidden="1" customHeight="1">
      <c r="A538" s="1499"/>
      <c r="B538" s="1500"/>
      <c r="C538" s="1501"/>
      <c r="D538" s="1502"/>
      <c r="E538" s="976" t="s">
        <v>524</v>
      </c>
      <c r="F538" s="964">
        <f t="shared" si="27"/>
        <v>0</v>
      </c>
      <c r="G538" s="964"/>
      <c r="H538" s="964"/>
      <c r="I538" s="964"/>
      <c r="J538" s="946"/>
    </row>
    <row r="539" spans="1:10" ht="15" hidden="1" customHeight="1">
      <c r="A539" s="1499"/>
      <c r="B539" s="1500"/>
      <c r="C539" s="1501"/>
      <c r="D539" s="1502"/>
      <c r="E539" s="963" t="s">
        <v>365</v>
      </c>
      <c r="F539" s="964">
        <f t="shared" si="27"/>
        <v>0</v>
      </c>
      <c r="G539" s="964"/>
      <c r="H539" s="964"/>
      <c r="I539" s="964"/>
      <c r="J539" s="946"/>
    </row>
    <row r="540" spans="1:10" ht="15" hidden="1" customHeight="1">
      <c r="A540" s="1499"/>
      <c r="B540" s="1500"/>
      <c r="C540" s="1501"/>
      <c r="D540" s="1502"/>
      <c r="E540" s="963" t="s">
        <v>302</v>
      </c>
      <c r="F540" s="964">
        <f t="shared" si="27"/>
        <v>0</v>
      </c>
      <c r="G540" s="964"/>
      <c r="H540" s="964"/>
      <c r="I540" s="964"/>
      <c r="J540" s="946"/>
    </row>
    <row r="541" spans="1:10" ht="15" hidden="1" customHeight="1">
      <c r="A541" s="1499"/>
      <c r="B541" s="1500"/>
      <c r="C541" s="1501"/>
      <c r="D541" s="1502"/>
      <c r="E541" s="963" t="s">
        <v>527</v>
      </c>
      <c r="F541" s="964">
        <f t="shared" si="27"/>
        <v>0</v>
      </c>
      <c r="G541" s="964"/>
      <c r="H541" s="964"/>
      <c r="I541" s="964"/>
      <c r="J541" s="946"/>
    </row>
    <row r="542" spans="1:10" ht="15" hidden="1" customHeight="1">
      <c r="A542" s="1499"/>
      <c r="B542" s="1500"/>
      <c r="C542" s="1501"/>
      <c r="D542" s="1502"/>
      <c r="E542" s="963" t="s">
        <v>528</v>
      </c>
      <c r="F542" s="964">
        <f t="shared" si="27"/>
        <v>0</v>
      </c>
      <c r="G542" s="964"/>
      <c r="H542" s="964"/>
      <c r="I542" s="964"/>
      <c r="J542" s="946"/>
    </row>
    <row r="543" spans="1:10" ht="15" hidden="1" customHeight="1">
      <c r="A543" s="1499"/>
      <c r="B543" s="1500"/>
      <c r="C543" s="1501"/>
      <c r="D543" s="1502"/>
      <c r="E543" s="963" t="s">
        <v>366</v>
      </c>
      <c r="F543" s="964">
        <f t="shared" si="27"/>
        <v>0</v>
      </c>
      <c r="G543" s="964"/>
      <c r="H543" s="964"/>
      <c r="I543" s="964"/>
      <c r="J543" s="946"/>
    </row>
    <row r="544" spans="1:10" ht="15" hidden="1" customHeight="1">
      <c r="A544" s="1499"/>
      <c r="B544" s="1500"/>
      <c r="C544" s="1501"/>
      <c r="D544" s="1502"/>
      <c r="E544" s="963" t="s">
        <v>304</v>
      </c>
      <c r="F544" s="964">
        <f t="shared" si="27"/>
        <v>0</v>
      </c>
      <c r="G544" s="964"/>
      <c r="H544" s="964"/>
      <c r="I544" s="964"/>
      <c r="J544" s="946"/>
    </row>
    <row r="545" spans="1:10" ht="15" hidden="1" customHeight="1">
      <c r="A545" s="1499"/>
      <c r="B545" s="1500"/>
      <c r="C545" s="1501"/>
      <c r="D545" s="1502"/>
      <c r="E545" s="963" t="s">
        <v>392</v>
      </c>
      <c r="F545" s="964">
        <f t="shared" si="27"/>
        <v>0</v>
      </c>
      <c r="G545" s="964"/>
      <c r="H545" s="964"/>
      <c r="I545" s="964"/>
      <c r="J545" s="946"/>
    </row>
    <row r="546" spans="1:10" ht="15" hidden="1" customHeight="1">
      <c r="A546" s="1499"/>
      <c r="B546" s="1500"/>
      <c r="C546" s="1501"/>
      <c r="D546" s="1502"/>
      <c r="E546" s="963" t="s">
        <v>310</v>
      </c>
      <c r="F546" s="964">
        <f t="shared" si="27"/>
        <v>0</v>
      </c>
      <c r="G546" s="964"/>
      <c r="H546" s="964"/>
      <c r="I546" s="964"/>
      <c r="J546" s="946"/>
    </row>
    <row r="547" spans="1:10" ht="15" hidden="1" customHeight="1">
      <c r="A547" s="1499"/>
      <c r="B547" s="1500"/>
      <c r="C547" s="1501"/>
      <c r="D547" s="1502"/>
      <c r="E547" s="963" t="s">
        <v>428</v>
      </c>
      <c r="F547" s="964">
        <f t="shared" si="27"/>
        <v>0</v>
      </c>
      <c r="G547" s="964"/>
      <c r="H547" s="964"/>
      <c r="I547" s="964"/>
      <c r="J547" s="946"/>
    </row>
    <row r="548" spans="1:10" ht="15" hidden="1" customHeight="1">
      <c r="A548" s="1499"/>
      <c r="B548" s="1500"/>
      <c r="C548" s="1501"/>
      <c r="D548" s="1502"/>
      <c r="E548" s="963" t="s">
        <v>429</v>
      </c>
      <c r="F548" s="964">
        <f t="shared" si="27"/>
        <v>0</v>
      </c>
      <c r="G548" s="964"/>
      <c r="H548" s="964"/>
      <c r="I548" s="964"/>
      <c r="J548" s="946"/>
    </row>
    <row r="549" spans="1:10" ht="24.95" hidden="1" customHeight="1">
      <c r="A549" s="1499"/>
      <c r="B549" s="1500"/>
      <c r="C549" s="1501"/>
      <c r="D549" s="1502"/>
      <c r="E549" s="966" t="s">
        <v>939</v>
      </c>
      <c r="F549" s="958">
        <f>SUM(F550:F551)</f>
        <v>0</v>
      </c>
      <c r="G549" s="958">
        <f>SUM(G550:G551)</f>
        <v>0</v>
      </c>
      <c r="H549" s="958">
        <f>SUM(H550:H551)</f>
        <v>0</v>
      </c>
      <c r="I549" s="958">
        <f>SUM(I550:I551)</f>
        <v>0</v>
      </c>
      <c r="J549" s="942">
        <f>SUM(J550:J551)</f>
        <v>0</v>
      </c>
    </row>
    <row r="550" spans="1:10" ht="15" hidden="1" customHeight="1">
      <c r="A550" s="1499"/>
      <c r="B550" s="1500"/>
      <c r="C550" s="1501"/>
      <c r="D550" s="1502"/>
      <c r="E550" s="963"/>
      <c r="F550" s="964">
        <f>SUM(G550:J550)</f>
        <v>0</v>
      </c>
      <c r="G550" s="964"/>
      <c r="H550" s="964"/>
      <c r="I550" s="964"/>
      <c r="J550" s="946"/>
    </row>
    <row r="551" spans="1:10" ht="15" hidden="1" customHeight="1" thickBot="1">
      <c r="A551" s="1538"/>
      <c r="B551" s="1539"/>
      <c r="C551" s="1540"/>
      <c r="D551" s="1541"/>
      <c r="E551" s="1013"/>
      <c r="F551" s="1014">
        <f>SUM(G551:J551)</f>
        <v>0</v>
      </c>
      <c r="G551" s="1014"/>
      <c r="H551" s="1014"/>
      <c r="I551" s="1014"/>
      <c r="J551" s="1015"/>
    </row>
    <row r="552" spans="1:10" ht="24.95" customHeight="1" thickBot="1">
      <c r="A552" s="1496" t="s">
        <v>865</v>
      </c>
      <c r="B552" s="1497"/>
      <c r="C552" s="1497"/>
      <c r="D552" s="1497"/>
      <c r="E552" s="1498"/>
      <c r="F552" s="995">
        <f>F7+F166+F210+F251+F407+F495</f>
        <v>39764202</v>
      </c>
      <c r="G552" s="995">
        <f>G7+G166+G210+G251+G407+G495</f>
        <v>5419202</v>
      </c>
      <c r="H552" s="995">
        <f>H7+H166+H210+H251+H407+H495</f>
        <v>1700000</v>
      </c>
      <c r="I552" s="995">
        <f>I7+I166+I210+I251+I407+I495</f>
        <v>32645000</v>
      </c>
      <c r="J552" s="996">
        <f>J7+J166+J210+J251+J407+J495</f>
        <v>0</v>
      </c>
    </row>
    <row r="554" spans="1:10">
      <c r="E554" s="997"/>
      <c r="F554" s="2"/>
      <c r="G554" s="2"/>
      <c r="H554" s="2"/>
      <c r="I554" s="2"/>
      <c r="J554" s="2"/>
    </row>
    <row r="555" spans="1:10">
      <c r="E555" s="998"/>
      <c r="F555" s="1027"/>
      <c r="G555" s="1027"/>
      <c r="H555" s="1027"/>
      <c r="I555" s="1027"/>
      <c r="J555" s="1027"/>
    </row>
    <row r="556" spans="1:10">
      <c r="E556" s="999"/>
      <c r="F556" s="2"/>
      <c r="G556" s="2"/>
      <c r="H556" s="2"/>
      <c r="I556" s="2"/>
      <c r="J556" s="2"/>
    </row>
    <row r="557" spans="1:10">
      <c r="E557" s="999"/>
      <c r="F557" s="2"/>
      <c r="G557" s="2"/>
      <c r="H557" s="2"/>
      <c r="I557" s="2"/>
      <c r="J557" s="2"/>
    </row>
    <row r="558" spans="1:10">
      <c r="E558" s="1000"/>
      <c r="F558" s="2"/>
      <c r="G558" s="2"/>
      <c r="H558" s="2"/>
      <c r="I558" s="2"/>
      <c r="J558" s="2"/>
    </row>
    <row r="559" spans="1:10">
      <c r="E559" s="1001"/>
      <c r="F559" s="1027"/>
      <c r="G559" s="1027"/>
      <c r="H559" s="1027"/>
      <c r="I559" s="1027"/>
      <c r="J559" s="1027"/>
    </row>
    <row r="560" spans="1:10" ht="15">
      <c r="E560" s="1002"/>
      <c r="F560" s="1028"/>
      <c r="G560" s="1028"/>
      <c r="H560" s="1028"/>
      <c r="I560" s="1028"/>
      <c r="J560" s="1028"/>
    </row>
  </sheetData>
  <mergeCells count="129">
    <mergeCell ref="H1:J1"/>
    <mergeCell ref="A2:J2"/>
    <mergeCell ref="A3:J3"/>
    <mergeCell ref="A4:A5"/>
    <mergeCell ref="B4:B5"/>
    <mergeCell ref="C4:C5"/>
    <mergeCell ref="D4:D5"/>
    <mergeCell ref="E4:E5"/>
    <mergeCell ref="F4:F5"/>
    <mergeCell ref="G4:J4"/>
    <mergeCell ref="B7:E7"/>
    <mergeCell ref="A8:J8"/>
    <mergeCell ref="A9:A29"/>
    <mergeCell ref="B9:B29"/>
    <mergeCell ref="C9:D9"/>
    <mergeCell ref="C10:D10"/>
    <mergeCell ref="C16:D16"/>
    <mergeCell ref="C17:C18"/>
    <mergeCell ref="D17:D18"/>
    <mergeCell ref="C19:C20"/>
    <mergeCell ref="A44:A84"/>
    <mergeCell ref="B44:B84"/>
    <mergeCell ref="C44:C84"/>
    <mergeCell ref="D44:D84"/>
    <mergeCell ref="A88:A114"/>
    <mergeCell ref="B88:B114"/>
    <mergeCell ref="C88:C114"/>
    <mergeCell ref="D88:D114"/>
    <mergeCell ref="C26:C28"/>
    <mergeCell ref="D26:D27"/>
    <mergeCell ref="A30:A43"/>
    <mergeCell ref="B30:B43"/>
    <mergeCell ref="C30:C43"/>
    <mergeCell ref="D30:D43"/>
    <mergeCell ref="B166:E166"/>
    <mergeCell ref="A167:J167"/>
    <mergeCell ref="A168:A181"/>
    <mergeCell ref="B168:B181"/>
    <mergeCell ref="C168:C181"/>
    <mergeCell ref="D168:D181"/>
    <mergeCell ref="A118:A151"/>
    <mergeCell ref="B118:B151"/>
    <mergeCell ref="C118:C151"/>
    <mergeCell ref="D118:D151"/>
    <mergeCell ref="A152:A165"/>
    <mergeCell ref="B152:B165"/>
    <mergeCell ref="C152:C165"/>
    <mergeCell ref="D152:D165"/>
    <mergeCell ref="B210:E210"/>
    <mergeCell ref="A211:J211"/>
    <mergeCell ref="A212:A224"/>
    <mergeCell ref="B212:B224"/>
    <mergeCell ref="C212:C224"/>
    <mergeCell ref="D212:D220"/>
    <mergeCell ref="D222:D224"/>
    <mergeCell ref="A182:A195"/>
    <mergeCell ref="B182:B195"/>
    <mergeCell ref="C182:C195"/>
    <mergeCell ref="D182:D195"/>
    <mergeCell ref="A196:A209"/>
    <mergeCell ref="B196:B209"/>
    <mergeCell ref="C196:C209"/>
    <mergeCell ref="D196:D209"/>
    <mergeCell ref="A225:A237"/>
    <mergeCell ref="B225:B237"/>
    <mergeCell ref="C225:C237"/>
    <mergeCell ref="D225:D233"/>
    <mergeCell ref="D235:D237"/>
    <mergeCell ref="A238:A250"/>
    <mergeCell ref="B238:B250"/>
    <mergeCell ref="C238:C250"/>
    <mergeCell ref="D238:D246"/>
    <mergeCell ref="D247:D249"/>
    <mergeCell ref="D263:D267"/>
    <mergeCell ref="C268:C275"/>
    <mergeCell ref="D268:D269"/>
    <mergeCell ref="D270:D272"/>
    <mergeCell ref="D273:D275"/>
    <mergeCell ref="C276:C277"/>
    <mergeCell ref="D276:D277"/>
    <mergeCell ref="B251:E251"/>
    <mergeCell ref="A252:J252"/>
    <mergeCell ref="A253:A288"/>
    <mergeCell ref="B253:B288"/>
    <mergeCell ref="C253:D253"/>
    <mergeCell ref="C254:D254"/>
    <mergeCell ref="C255:C261"/>
    <mergeCell ref="D255:D256"/>
    <mergeCell ref="D257:D261"/>
    <mergeCell ref="C262:C267"/>
    <mergeCell ref="A289:A308"/>
    <mergeCell ref="B289:B308"/>
    <mergeCell ref="C289:C308"/>
    <mergeCell ref="D289:D308"/>
    <mergeCell ref="A309:A356"/>
    <mergeCell ref="B309:B356"/>
    <mergeCell ref="C309:C356"/>
    <mergeCell ref="D309:D356"/>
    <mergeCell ref="C278:C281"/>
    <mergeCell ref="D278:D281"/>
    <mergeCell ref="C282:D282"/>
    <mergeCell ref="C283:C284"/>
    <mergeCell ref="C287:C288"/>
    <mergeCell ref="D287:D288"/>
    <mergeCell ref="A409:A449"/>
    <mergeCell ref="B409:B449"/>
    <mergeCell ref="C409:C449"/>
    <mergeCell ref="D409:D449"/>
    <mergeCell ref="A450:A494"/>
    <mergeCell ref="B450:B494"/>
    <mergeCell ref="C450:C494"/>
    <mergeCell ref="D450:D494"/>
    <mergeCell ref="A357:A406"/>
    <mergeCell ref="B357:B406"/>
    <mergeCell ref="C357:C406"/>
    <mergeCell ref="D357:D406"/>
    <mergeCell ref="B407:E407"/>
    <mergeCell ref="A408:J408"/>
    <mergeCell ref="A520:A551"/>
    <mergeCell ref="B520:B551"/>
    <mergeCell ref="C520:C551"/>
    <mergeCell ref="D520:D551"/>
    <mergeCell ref="A552:E552"/>
    <mergeCell ref="B495:E495"/>
    <mergeCell ref="A496:J496"/>
    <mergeCell ref="A497:A519"/>
    <mergeCell ref="B497:B519"/>
    <mergeCell ref="C497:C519"/>
    <mergeCell ref="D497:D519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>
    <oddFooter>Strona &amp;P z &amp;N</oddFooter>
  </headerFooter>
  <rowBreaks count="3" manualBreakCount="3">
    <brk id="117" max="9" man="1"/>
    <brk id="151" max="9" man="1"/>
    <brk id="356" max="9" man="1"/>
  </rowBreaks>
  <colBreaks count="1" manualBreakCount="1">
    <brk id="10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J60"/>
  <sheetViews>
    <sheetView view="pageBreakPreview" zoomScaleNormal="100" zoomScaleSheetLayoutView="100" workbookViewId="0">
      <selection activeCell="H5" sqref="H5"/>
    </sheetView>
  </sheetViews>
  <sheetFormatPr defaultRowHeight="12.75"/>
  <cols>
    <col min="1" max="1" width="5.140625" style="1" customWidth="1"/>
    <col min="2" max="2" width="48" style="1" customWidth="1"/>
    <col min="3" max="3" width="7.140625" style="1" customWidth="1"/>
    <col min="4" max="4" width="10.140625" style="1" customWidth="1"/>
    <col min="5" max="5" width="11.28515625" style="1" customWidth="1"/>
    <col min="6" max="6" width="13.7109375" style="1" customWidth="1"/>
    <col min="7" max="7" width="10.140625" style="1" bestFit="1" customWidth="1"/>
    <col min="8" max="8" width="11.140625" style="1" bestFit="1" customWidth="1"/>
    <col min="9" max="256" width="9.140625" style="1"/>
    <col min="257" max="257" width="5.140625" style="1" customWidth="1"/>
    <col min="258" max="258" width="46.85546875" style="1" customWidth="1"/>
    <col min="259" max="259" width="7.140625" style="1" customWidth="1"/>
    <col min="260" max="260" width="10.140625" style="1" customWidth="1"/>
    <col min="261" max="261" width="11.28515625" style="1" customWidth="1"/>
    <col min="262" max="262" width="13.7109375" style="1" customWidth="1"/>
    <col min="263" max="512" width="9.140625" style="1"/>
    <col min="513" max="513" width="5.140625" style="1" customWidth="1"/>
    <col min="514" max="514" width="46.85546875" style="1" customWidth="1"/>
    <col min="515" max="515" width="7.140625" style="1" customWidth="1"/>
    <col min="516" max="516" width="10.140625" style="1" customWidth="1"/>
    <col min="517" max="517" width="11.28515625" style="1" customWidth="1"/>
    <col min="518" max="518" width="13.7109375" style="1" customWidth="1"/>
    <col min="519" max="768" width="9.140625" style="1"/>
    <col min="769" max="769" width="5.140625" style="1" customWidth="1"/>
    <col min="770" max="770" width="46.85546875" style="1" customWidth="1"/>
    <col min="771" max="771" width="7.140625" style="1" customWidth="1"/>
    <col min="772" max="772" width="10.140625" style="1" customWidth="1"/>
    <col min="773" max="773" width="11.28515625" style="1" customWidth="1"/>
    <col min="774" max="774" width="13.7109375" style="1" customWidth="1"/>
    <col min="775" max="1024" width="9.140625" style="1"/>
    <col min="1025" max="1025" width="5.140625" style="1" customWidth="1"/>
    <col min="1026" max="1026" width="46.85546875" style="1" customWidth="1"/>
    <col min="1027" max="1027" width="7.140625" style="1" customWidth="1"/>
    <col min="1028" max="1028" width="10.140625" style="1" customWidth="1"/>
    <col min="1029" max="1029" width="11.28515625" style="1" customWidth="1"/>
    <col min="1030" max="1030" width="13.7109375" style="1" customWidth="1"/>
    <col min="1031" max="1280" width="9.140625" style="1"/>
    <col min="1281" max="1281" width="5.140625" style="1" customWidth="1"/>
    <col min="1282" max="1282" width="46.85546875" style="1" customWidth="1"/>
    <col min="1283" max="1283" width="7.140625" style="1" customWidth="1"/>
    <col min="1284" max="1284" width="10.140625" style="1" customWidth="1"/>
    <col min="1285" max="1285" width="11.28515625" style="1" customWidth="1"/>
    <col min="1286" max="1286" width="13.7109375" style="1" customWidth="1"/>
    <col min="1287" max="1536" width="9.140625" style="1"/>
    <col min="1537" max="1537" width="5.140625" style="1" customWidth="1"/>
    <col min="1538" max="1538" width="46.85546875" style="1" customWidth="1"/>
    <col min="1539" max="1539" width="7.140625" style="1" customWidth="1"/>
    <col min="1540" max="1540" width="10.140625" style="1" customWidth="1"/>
    <col min="1541" max="1541" width="11.28515625" style="1" customWidth="1"/>
    <col min="1542" max="1542" width="13.7109375" style="1" customWidth="1"/>
    <col min="1543" max="1792" width="9.140625" style="1"/>
    <col min="1793" max="1793" width="5.140625" style="1" customWidth="1"/>
    <col min="1794" max="1794" width="46.85546875" style="1" customWidth="1"/>
    <col min="1795" max="1795" width="7.140625" style="1" customWidth="1"/>
    <col min="1796" max="1796" width="10.140625" style="1" customWidth="1"/>
    <col min="1797" max="1797" width="11.28515625" style="1" customWidth="1"/>
    <col min="1798" max="1798" width="13.7109375" style="1" customWidth="1"/>
    <col min="1799" max="2048" width="9.140625" style="1"/>
    <col min="2049" max="2049" width="5.140625" style="1" customWidth="1"/>
    <col min="2050" max="2050" width="46.85546875" style="1" customWidth="1"/>
    <col min="2051" max="2051" width="7.140625" style="1" customWidth="1"/>
    <col min="2052" max="2052" width="10.140625" style="1" customWidth="1"/>
    <col min="2053" max="2053" width="11.28515625" style="1" customWidth="1"/>
    <col min="2054" max="2054" width="13.7109375" style="1" customWidth="1"/>
    <col min="2055" max="2304" width="9.140625" style="1"/>
    <col min="2305" max="2305" width="5.140625" style="1" customWidth="1"/>
    <col min="2306" max="2306" width="46.85546875" style="1" customWidth="1"/>
    <col min="2307" max="2307" width="7.140625" style="1" customWidth="1"/>
    <col min="2308" max="2308" width="10.140625" style="1" customWidth="1"/>
    <col min="2309" max="2309" width="11.28515625" style="1" customWidth="1"/>
    <col min="2310" max="2310" width="13.7109375" style="1" customWidth="1"/>
    <col min="2311" max="2560" width="9.140625" style="1"/>
    <col min="2561" max="2561" width="5.140625" style="1" customWidth="1"/>
    <col min="2562" max="2562" width="46.85546875" style="1" customWidth="1"/>
    <col min="2563" max="2563" width="7.140625" style="1" customWidth="1"/>
    <col min="2564" max="2564" width="10.140625" style="1" customWidth="1"/>
    <col min="2565" max="2565" width="11.28515625" style="1" customWidth="1"/>
    <col min="2566" max="2566" width="13.7109375" style="1" customWidth="1"/>
    <col min="2567" max="2816" width="9.140625" style="1"/>
    <col min="2817" max="2817" width="5.140625" style="1" customWidth="1"/>
    <col min="2818" max="2818" width="46.85546875" style="1" customWidth="1"/>
    <col min="2819" max="2819" width="7.140625" style="1" customWidth="1"/>
    <col min="2820" max="2820" width="10.140625" style="1" customWidth="1"/>
    <col min="2821" max="2821" width="11.28515625" style="1" customWidth="1"/>
    <col min="2822" max="2822" width="13.7109375" style="1" customWidth="1"/>
    <col min="2823" max="3072" width="9.140625" style="1"/>
    <col min="3073" max="3073" width="5.140625" style="1" customWidth="1"/>
    <col min="3074" max="3074" width="46.85546875" style="1" customWidth="1"/>
    <col min="3075" max="3075" width="7.140625" style="1" customWidth="1"/>
    <col min="3076" max="3076" width="10.140625" style="1" customWidth="1"/>
    <col min="3077" max="3077" width="11.28515625" style="1" customWidth="1"/>
    <col min="3078" max="3078" width="13.7109375" style="1" customWidth="1"/>
    <col min="3079" max="3328" width="9.140625" style="1"/>
    <col min="3329" max="3329" width="5.140625" style="1" customWidth="1"/>
    <col min="3330" max="3330" width="46.85546875" style="1" customWidth="1"/>
    <col min="3331" max="3331" width="7.140625" style="1" customWidth="1"/>
    <col min="3332" max="3332" width="10.140625" style="1" customWidth="1"/>
    <col min="3333" max="3333" width="11.28515625" style="1" customWidth="1"/>
    <col min="3334" max="3334" width="13.7109375" style="1" customWidth="1"/>
    <col min="3335" max="3584" width="9.140625" style="1"/>
    <col min="3585" max="3585" width="5.140625" style="1" customWidth="1"/>
    <col min="3586" max="3586" width="46.85546875" style="1" customWidth="1"/>
    <col min="3587" max="3587" width="7.140625" style="1" customWidth="1"/>
    <col min="3588" max="3588" width="10.140625" style="1" customWidth="1"/>
    <col min="3589" max="3589" width="11.28515625" style="1" customWidth="1"/>
    <col min="3590" max="3590" width="13.7109375" style="1" customWidth="1"/>
    <col min="3591" max="3840" width="9.140625" style="1"/>
    <col min="3841" max="3841" width="5.140625" style="1" customWidth="1"/>
    <col min="3842" max="3842" width="46.85546875" style="1" customWidth="1"/>
    <col min="3843" max="3843" width="7.140625" style="1" customWidth="1"/>
    <col min="3844" max="3844" width="10.140625" style="1" customWidth="1"/>
    <col min="3845" max="3845" width="11.28515625" style="1" customWidth="1"/>
    <col min="3846" max="3846" width="13.7109375" style="1" customWidth="1"/>
    <col min="3847" max="4096" width="9.140625" style="1"/>
    <col min="4097" max="4097" width="5.140625" style="1" customWidth="1"/>
    <col min="4098" max="4098" width="46.85546875" style="1" customWidth="1"/>
    <col min="4099" max="4099" width="7.140625" style="1" customWidth="1"/>
    <col min="4100" max="4100" width="10.140625" style="1" customWidth="1"/>
    <col min="4101" max="4101" width="11.28515625" style="1" customWidth="1"/>
    <col min="4102" max="4102" width="13.7109375" style="1" customWidth="1"/>
    <col min="4103" max="4352" width="9.140625" style="1"/>
    <col min="4353" max="4353" width="5.140625" style="1" customWidth="1"/>
    <col min="4354" max="4354" width="46.85546875" style="1" customWidth="1"/>
    <col min="4355" max="4355" width="7.140625" style="1" customWidth="1"/>
    <col min="4356" max="4356" width="10.140625" style="1" customWidth="1"/>
    <col min="4357" max="4357" width="11.28515625" style="1" customWidth="1"/>
    <col min="4358" max="4358" width="13.7109375" style="1" customWidth="1"/>
    <col min="4359" max="4608" width="9.140625" style="1"/>
    <col min="4609" max="4609" width="5.140625" style="1" customWidth="1"/>
    <col min="4610" max="4610" width="46.85546875" style="1" customWidth="1"/>
    <col min="4611" max="4611" width="7.140625" style="1" customWidth="1"/>
    <col min="4612" max="4612" width="10.140625" style="1" customWidth="1"/>
    <col min="4613" max="4613" width="11.28515625" style="1" customWidth="1"/>
    <col min="4614" max="4614" width="13.7109375" style="1" customWidth="1"/>
    <col min="4615" max="4864" width="9.140625" style="1"/>
    <col min="4865" max="4865" width="5.140625" style="1" customWidth="1"/>
    <col min="4866" max="4866" width="46.85546875" style="1" customWidth="1"/>
    <col min="4867" max="4867" width="7.140625" style="1" customWidth="1"/>
    <col min="4868" max="4868" width="10.140625" style="1" customWidth="1"/>
    <col min="4869" max="4869" width="11.28515625" style="1" customWidth="1"/>
    <col min="4870" max="4870" width="13.7109375" style="1" customWidth="1"/>
    <col min="4871" max="5120" width="9.140625" style="1"/>
    <col min="5121" max="5121" width="5.140625" style="1" customWidth="1"/>
    <col min="5122" max="5122" width="46.85546875" style="1" customWidth="1"/>
    <col min="5123" max="5123" width="7.140625" style="1" customWidth="1"/>
    <col min="5124" max="5124" width="10.140625" style="1" customWidth="1"/>
    <col min="5125" max="5125" width="11.28515625" style="1" customWidth="1"/>
    <col min="5126" max="5126" width="13.7109375" style="1" customWidth="1"/>
    <col min="5127" max="5376" width="9.140625" style="1"/>
    <col min="5377" max="5377" width="5.140625" style="1" customWidth="1"/>
    <col min="5378" max="5378" width="46.85546875" style="1" customWidth="1"/>
    <col min="5379" max="5379" width="7.140625" style="1" customWidth="1"/>
    <col min="5380" max="5380" width="10.140625" style="1" customWidth="1"/>
    <col min="5381" max="5381" width="11.28515625" style="1" customWidth="1"/>
    <col min="5382" max="5382" width="13.7109375" style="1" customWidth="1"/>
    <col min="5383" max="5632" width="9.140625" style="1"/>
    <col min="5633" max="5633" width="5.140625" style="1" customWidth="1"/>
    <col min="5634" max="5634" width="46.85546875" style="1" customWidth="1"/>
    <col min="5635" max="5635" width="7.140625" style="1" customWidth="1"/>
    <col min="5636" max="5636" width="10.140625" style="1" customWidth="1"/>
    <col min="5637" max="5637" width="11.28515625" style="1" customWidth="1"/>
    <col min="5638" max="5638" width="13.7109375" style="1" customWidth="1"/>
    <col min="5639" max="5888" width="9.140625" style="1"/>
    <col min="5889" max="5889" width="5.140625" style="1" customWidth="1"/>
    <col min="5890" max="5890" width="46.85546875" style="1" customWidth="1"/>
    <col min="5891" max="5891" width="7.140625" style="1" customWidth="1"/>
    <col min="5892" max="5892" width="10.140625" style="1" customWidth="1"/>
    <col min="5893" max="5893" width="11.28515625" style="1" customWidth="1"/>
    <col min="5894" max="5894" width="13.7109375" style="1" customWidth="1"/>
    <col min="5895" max="6144" width="9.140625" style="1"/>
    <col min="6145" max="6145" width="5.140625" style="1" customWidth="1"/>
    <col min="6146" max="6146" width="46.85546875" style="1" customWidth="1"/>
    <col min="6147" max="6147" width="7.140625" style="1" customWidth="1"/>
    <col min="6148" max="6148" width="10.140625" style="1" customWidth="1"/>
    <col min="6149" max="6149" width="11.28515625" style="1" customWidth="1"/>
    <col min="6150" max="6150" width="13.7109375" style="1" customWidth="1"/>
    <col min="6151" max="6400" width="9.140625" style="1"/>
    <col min="6401" max="6401" width="5.140625" style="1" customWidth="1"/>
    <col min="6402" max="6402" width="46.85546875" style="1" customWidth="1"/>
    <col min="6403" max="6403" width="7.140625" style="1" customWidth="1"/>
    <col min="6404" max="6404" width="10.140625" style="1" customWidth="1"/>
    <col min="6405" max="6405" width="11.28515625" style="1" customWidth="1"/>
    <col min="6406" max="6406" width="13.7109375" style="1" customWidth="1"/>
    <col min="6407" max="6656" width="9.140625" style="1"/>
    <col min="6657" max="6657" width="5.140625" style="1" customWidth="1"/>
    <col min="6658" max="6658" width="46.85546875" style="1" customWidth="1"/>
    <col min="6659" max="6659" width="7.140625" style="1" customWidth="1"/>
    <col min="6660" max="6660" width="10.140625" style="1" customWidth="1"/>
    <col min="6661" max="6661" width="11.28515625" style="1" customWidth="1"/>
    <col min="6662" max="6662" width="13.7109375" style="1" customWidth="1"/>
    <col min="6663" max="6912" width="9.140625" style="1"/>
    <col min="6913" max="6913" width="5.140625" style="1" customWidth="1"/>
    <col min="6914" max="6914" width="46.85546875" style="1" customWidth="1"/>
    <col min="6915" max="6915" width="7.140625" style="1" customWidth="1"/>
    <col min="6916" max="6916" width="10.140625" style="1" customWidth="1"/>
    <col min="6917" max="6917" width="11.28515625" style="1" customWidth="1"/>
    <col min="6918" max="6918" width="13.7109375" style="1" customWidth="1"/>
    <col min="6919" max="7168" width="9.140625" style="1"/>
    <col min="7169" max="7169" width="5.140625" style="1" customWidth="1"/>
    <col min="7170" max="7170" width="46.85546875" style="1" customWidth="1"/>
    <col min="7171" max="7171" width="7.140625" style="1" customWidth="1"/>
    <col min="7172" max="7172" width="10.140625" style="1" customWidth="1"/>
    <col min="7173" max="7173" width="11.28515625" style="1" customWidth="1"/>
    <col min="7174" max="7174" width="13.7109375" style="1" customWidth="1"/>
    <col min="7175" max="7424" width="9.140625" style="1"/>
    <col min="7425" max="7425" width="5.140625" style="1" customWidth="1"/>
    <col min="7426" max="7426" width="46.85546875" style="1" customWidth="1"/>
    <col min="7427" max="7427" width="7.140625" style="1" customWidth="1"/>
    <col min="7428" max="7428" width="10.140625" style="1" customWidth="1"/>
    <col min="7429" max="7429" width="11.28515625" style="1" customWidth="1"/>
    <col min="7430" max="7430" width="13.7109375" style="1" customWidth="1"/>
    <col min="7431" max="7680" width="9.140625" style="1"/>
    <col min="7681" max="7681" width="5.140625" style="1" customWidth="1"/>
    <col min="7682" max="7682" width="46.85546875" style="1" customWidth="1"/>
    <col min="7683" max="7683" width="7.140625" style="1" customWidth="1"/>
    <col min="7684" max="7684" width="10.140625" style="1" customWidth="1"/>
    <col min="7685" max="7685" width="11.28515625" style="1" customWidth="1"/>
    <col min="7686" max="7686" width="13.7109375" style="1" customWidth="1"/>
    <col min="7687" max="7936" width="9.140625" style="1"/>
    <col min="7937" max="7937" width="5.140625" style="1" customWidth="1"/>
    <col min="7938" max="7938" width="46.85546875" style="1" customWidth="1"/>
    <col min="7939" max="7939" width="7.140625" style="1" customWidth="1"/>
    <col min="7940" max="7940" width="10.140625" style="1" customWidth="1"/>
    <col min="7941" max="7941" width="11.28515625" style="1" customWidth="1"/>
    <col min="7942" max="7942" width="13.7109375" style="1" customWidth="1"/>
    <col min="7943" max="8192" width="9.140625" style="1"/>
    <col min="8193" max="8193" width="5.140625" style="1" customWidth="1"/>
    <col min="8194" max="8194" width="46.85546875" style="1" customWidth="1"/>
    <col min="8195" max="8195" width="7.140625" style="1" customWidth="1"/>
    <col min="8196" max="8196" width="10.140625" style="1" customWidth="1"/>
    <col min="8197" max="8197" width="11.28515625" style="1" customWidth="1"/>
    <col min="8198" max="8198" width="13.7109375" style="1" customWidth="1"/>
    <col min="8199" max="8448" width="9.140625" style="1"/>
    <col min="8449" max="8449" width="5.140625" style="1" customWidth="1"/>
    <col min="8450" max="8450" width="46.85546875" style="1" customWidth="1"/>
    <col min="8451" max="8451" width="7.140625" style="1" customWidth="1"/>
    <col min="8452" max="8452" width="10.140625" style="1" customWidth="1"/>
    <col min="8453" max="8453" width="11.28515625" style="1" customWidth="1"/>
    <col min="8454" max="8454" width="13.7109375" style="1" customWidth="1"/>
    <col min="8455" max="8704" width="9.140625" style="1"/>
    <col min="8705" max="8705" width="5.140625" style="1" customWidth="1"/>
    <col min="8706" max="8706" width="46.85546875" style="1" customWidth="1"/>
    <col min="8707" max="8707" width="7.140625" style="1" customWidth="1"/>
    <col min="8708" max="8708" width="10.140625" style="1" customWidth="1"/>
    <col min="8709" max="8709" width="11.28515625" style="1" customWidth="1"/>
    <col min="8710" max="8710" width="13.7109375" style="1" customWidth="1"/>
    <col min="8711" max="8960" width="9.140625" style="1"/>
    <col min="8961" max="8961" width="5.140625" style="1" customWidth="1"/>
    <col min="8962" max="8962" width="46.85546875" style="1" customWidth="1"/>
    <col min="8963" max="8963" width="7.140625" style="1" customWidth="1"/>
    <col min="8964" max="8964" width="10.140625" style="1" customWidth="1"/>
    <col min="8965" max="8965" width="11.28515625" style="1" customWidth="1"/>
    <col min="8966" max="8966" width="13.7109375" style="1" customWidth="1"/>
    <col min="8967" max="9216" width="9.140625" style="1"/>
    <col min="9217" max="9217" width="5.140625" style="1" customWidth="1"/>
    <col min="9218" max="9218" width="46.85546875" style="1" customWidth="1"/>
    <col min="9219" max="9219" width="7.140625" style="1" customWidth="1"/>
    <col min="9220" max="9220" width="10.140625" style="1" customWidth="1"/>
    <col min="9221" max="9221" width="11.28515625" style="1" customWidth="1"/>
    <col min="9222" max="9222" width="13.7109375" style="1" customWidth="1"/>
    <col min="9223" max="9472" width="9.140625" style="1"/>
    <col min="9473" max="9473" width="5.140625" style="1" customWidth="1"/>
    <col min="9474" max="9474" width="46.85546875" style="1" customWidth="1"/>
    <col min="9475" max="9475" width="7.140625" style="1" customWidth="1"/>
    <col min="9476" max="9476" width="10.140625" style="1" customWidth="1"/>
    <col min="9477" max="9477" width="11.28515625" style="1" customWidth="1"/>
    <col min="9478" max="9478" width="13.7109375" style="1" customWidth="1"/>
    <col min="9479" max="9728" width="9.140625" style="1"/>
    <col min="9729" max="9729" width="5.140625" style="1" customWidth="1"/>
    <col min="9730" max="9730" width="46.85546875" style="1" customWidth="1"/>
    <col min="9731" max="9731" width="7.140625" style="1" customWidth="1"/>
    <col min="9732" max="9732" width="10.140625" style="1" customWidth="1"/>
    <col min="9733" max="9733" width="11.28515625" style="1" customWidth="1"/>
    <col min="9734" max="9734" width="13.7109375" style="1" customWidth="1"/>
    <col min="9735" max="9984" width="9.140625" style="1"/>
    <col min="9985" max="9985" width="5.140625" style="1" customWidth="1"/>
    <col min="9986" max="9986" width="46.85546875" style="1" customWidth="1"/>
    <col min="9987" max="9987" width="7.140625" style="1" customWidth="1"/>
    <col min="9988" max="9988" width="10.140625" style="1" customWidth="1"/>
    <col min="9989" max="9989" width="11.28515625" style="1" customWidth="1"/>
    <col min="9990" max="9990" width="13.7109375" style="1" customWidth="1"/>
    <col min="9991" max="10240" width="9.140625" style="1"/>
    <col min="10241" max="10241" width="5.140625" style="1" customWidth="1"/>
    <col min="10242" max="10242" width="46.85546875" style="1" customWidth="1"/>
    <col min="10243" max="10243" width="7.140625" style="1" customWidth="1"/>
    <col min="10244" max="10244" width="10.140625" style="1" customWidth="1"/>
    <col min="10245" max="10245" width="11.28515625" style="1" customWidth="1"/>
    <col min="10246" max="10246" width="13.7109375" style="1" customWidth="1"/>
    <col min="10247" max="10496" width="9.140625" style="1"/>
    <col min="10497" max="10497" width="5.140625" style="1" customWidth="1"/>
    <col min="10498" max="10498" width="46.85546875" style="1" customWidth="1"/>
    <col min="10499" max="10499" width="7.140625" style="1" customWidth="1"/>
    <col min="10500" max="10500" width="10.140625" style="1" customWidth="1"/>
    <col min="10501" max="10501" width="11.28515625" style="1" customWidth="1"/>
    <col min="10502" max="10502" width="13.7109375" style="1" customWidth="1"/>
    <col min="10503" max="10752" width="9.140625" style="1"/>
    <col min="10753" max="10753" width="5.140625" style="1" customWidth="1"/>
    <col min="10754" max="10754" width="46.85546875" style="1" customWidth="1"/>
    <col min="10755" max="10755" width="7.140625" style="1" customWidth="1"/>
    <col min="10756" max="10756" width="10.140625" style="1" customWidth="1"/>
    <col min="10757" max="10757" width="11.28515625" style="1" customWidth="1"/>
    <col min="10758" max="10758" width="13.7109375" style="1" customWidth="1"/>
    <col min="10759" max="11008" width="9.140625" style="1"/>
    <col min="11009" max="11009" width="5.140625" style="1" customWidth="1"/>
    <col min="11010" max="11010" width="46.85546875" style="1" customWidth="1"/>
    <col min="11011" max="11011" width="7.140625" style="1" customWidth="1"/>
    <col min="11012" max="11012" width="10.140625" style="1" customWidth="1"/>
    <col min="11013" max="11013" width="11.28515625" style="1" customWidth="1"/>
    <col min="11014" max="11014" width="13.7109375" style="1" customWidth="1"/>
    <col min="11015" max="11264" width="9.140625" style="1"/>
    <col min="11265" max="11265" width="5.140625" style="1" customWidth="1"/>
    <col min="11266" max="11266" width="46.85546875" style="1" customWidth="1"/>
    <col min="11267" max="11267" width="7.140625" style="1" customWidth="1"/>
    <col min="11268" max="11268" width="10.140625" style="1" customWidth="1"/>
    <col min="11269" max="11269" width="11.28515625" style="1" customWidth="1"/>
    <col min="11270" max="11270" width="13.7109375" style="1" customWidth="1"/>
    <col min="11271" max="11520" width="9.140625" style="1"/>
    <col min="11521" max="11521" width="5.140625" style="1" customWidth="1"/>
    <col min="11522" max="11522" width="46.85546875" style="1" customWidth="1"/>
    <col min="11523" max="11523" width="7.140625" style="1" customWidth="1"/>
    <col min="11524" max="11524" width="10.140625" style="1" customWidth="1"/>
    <col min="11525" max="11525" width="11.28515625" style="1" customWidth="1"/>
    <col min="11526" max="11526" width="13.7109375" style="1" customWidth="1"/>
    <col min="11527" max="11776" width="9.140625" style="1"/>
    <col min="11777" max="11777" width="5.140625" style="1" customWidth="1"/>
    <col min="11778" max="11778" width="46.85546875" style="1" customWidth="1"/>
    <col min="11779" max="11779" width="7.140625" style="1" customWidth="1"/>
    <col min="11780" max="11780" width="10.140625" style="1" customWidth="1"/>
    <col min="11781" max="11781" width="11.28515625" style="1" customWidth="1"/>
    <col min="11782" max="11782" width="13.7109375" style="1" customWidth="1"/>
    <col min="11783" max="12032" width="9.140625" style="1"/>
    <col min="12033" max="12033" width="5.140625" style="1" customWidth="1"/>
    <col min="12034" max="12034" width="46.85546875" style="1" customWidth="1"/>
    <col min="12035" max="12035" width="7.140625" style="1" customWidth="1"/>
    <col min="12036" max="12036" width="10.140625" style="1" customWidth="1"/>
    <col min="12037" max="12037" width="11.28515625" style="1" customWidth="1"/>
    <col min="12038" max="12038" width="13.7109375" style="1" customWidth="1"/>
    <col min="12039" max="12288" width="9.140625" style="1"/>
    <col min="12289" max="12289" width="5.140625" style="1" customWidth="1"/>
    <col min="12290" max="12290" width="46.85546875" style="1" customWidth="1"/>
    <col min="12291" max="12291" width="7.140625" style="1" customWidth="1"/>
    <col min="12292" max="12292" width="10.140625" style="1" customWidth="1"/>
    <col min="12293" max="12293" width="11.28515625" style="1" customWidth="1"/>
    <col min="12294" max="12294" width="13.7109375" style="1" customWidth="1"/>
    <col min="12295" max="12544" width="9.140625" style="1"/>
    <col min="12545" max="12545" width="5.140625" style="1" customWidth="1"/>
    <col min="12546" max="12546" width="46.85546875" style="1" customWidth="1"/>
    <col min="12547" max="12547" width="7.140625" style="1" customWidth="1"/>
    <col min="12548" max="12548" width="10.140625" style="1" customWidth="1"/>
    <col min="12549" max="12549" width="11.28515625" style="1" customWidth="1"/>
    <col min="12550" max="12550" width="13.7109375" style="1" customWidth="1"/>
    <col min="12551" max="12800" width="9.140625" style="1"/>
    <col min="12801" max="12801" width="5.140625" style="1" customWidth="1"/>
    <col min="12802" max="12802" width="46.85546875" style="1" customWidth="1"/>
    <col min="12803" max="12803" width="7.140625" style="1" customWidth="1"/>
    <col min="12804" max="12804" width="10.140625" style="1" customWidth="1"/>
    <col min="12805" max="12805" width="11.28515625" style="1" customWidth="1"/>
    <col min="12806" max="12806" width="13.7109375" style="1" customWidth="1"/>
    <col min="12807" max="13056" width="9.140625" style="1"/>
    <col min="13057" max="13057" width="5.140625" style="1" customWidth="1"/>
    <col min="13058" max="13058" width="46.85546875" style="1" customWidth="1"/>
    <col min="13059" max="13059" width="7.140625" style="1" customWidth="1"/>
    <col min="13060" max="13060" width="10.140625" style="1" customWidth="1"/>
    <col min="13061" max="13061" width="11.28515625" style="1" customWidth="1"/>
    <col min="13062" max="13062" width="13.7109375" style="1" customWidth="1"/>
    <col min="13063" max="13312" width="9.140625" style="1"/>
    <col min="13313" max="13313" width="5.140625" style="1" customWidth="1"/>
    <col min="13314" max="13314" width="46.85546875" style="1" customWidth="1"/>
    <col min="13315" max="13315" width="7.140625" style="1" customWidth="1"/>
    <col min="13316" max="13316" width="10.140625" style="1" customWidth="1"/>
    <col min="13317" max="13317" width="11.28515625" style="1" customWidth="1"/>
    <col min="13318" max="13318" width="13.7109375" style="1" customWidth="1"/>
    <col min="13319" max="13568" width="9.140625" style="1"/>
    <col min="13569" max="13569" width="5.140625" style="1" customWidth="1"/>
    <col min="13570" max="13570" width="46.85546875" style="1" customWidth="1"/>
    <col min="13571" max="13571" width="7.140625" style="1" customWidth="1"/>
    <col min="13572" max="13572" width="10.140625" style="1" customWidth="1"/>
    <col min="13573" max="13573" width="11.28515625" style="1" customWidth="1"/>
    <col min="13574" max="13574" width="13.7109375" style="1" customWidth="1"/>
    <col min="13575" max="13824" width="9.140625" style="1"/>
    <col min="13825" max="13825" width="5.140625" style="1" customWidth="1"/>
    <col min="13826" max="13826" width="46.85546875" style="1" customWidth="1"/>
    <col min="13827" max="13827" width="7.140625" style="1" customWidth="1"/>
    <col min="13828" max="13828" width="10.140625" style="1" customWidth="1"/>
    <col min="13829" max="13829" width="11.28515625" style="1" customWidth="1"/>
    <col min="13830" max="13830" width="13.7109375" style="1" customWidth="1"/>
    <col min="13831" max="14080" width="9.140625" style="1"/>
    <col min="14081" max="14081" width="5.140625" style="1" customWidth="1"/>
    <col min="14082" max="14082" width="46.85546875" style="1" customWidth="1"/>
    <col min="14083" max="14083" width="7.140625" style="1" customWidth="1"/>
    <col min="14084" max="14084" width="10.140625" style="1" customWidth="1"/>
    <col min="14085" max="14085" width="11.28515625" style="1" customWidth="1"/>
    <col min="14086" max="14086" width="13.7109375" style="1" customWidth="1"/>
    <col min="14087" max="14336" width="9.140625" style="1"/>
    <col min="14337" max="14337" width="5.140625" style="1" customWidth="1"/>
    <col min="14338" max="14338" width="46.85546875" style="1" customWidth="1"/>
    <col min="14339" max="14339" width="7.140625" style="1" customWidth="1"/>
    <col min="14340" max="14340" width="10.140625" style="1" customWidth="1"/>
    <col min="14341" max="14341" width="11.28515625" style="1" customWidth="1"/>
    <col min="14342" max="14342" width="13.7109375" style="1" customWidth="1"/>
    <col min="14343" max="14592" width="9.140625" style="1"/>
    <col min="14593" max="14593" width="5.140625" style="1" customWidth="1"/>
    <col min="14594" max="14594" width="46.85546875" style="1" customWidth="1"/>
    <col min="14595" max="14595" width="7.140625" style="1" customWidth="1"/>
    <col min="14596" max="14596" width="10.140625" style="1" customWidth="1"/>
    <col min="14597" max="14597" width="11.28515625" style="1" customWidth="1"/>
    <col min="14598" max="14598" width="13.7109375" style="1" customWidth="1"/>
    <col min="14599" max="14848" width="9.140625" style="1"/>
    <col min="14849" max="14849" width="5.140625" style="1" customWidth="1"/>
    <col min="14850" max="14850" width="46.85546875" style="1" customWidth="1"/>
    <col min="14851" max="14851" width="7.140625" style="1" customWidth="1"/>
    <col min="14852" max="14852" width="10.140625" style="1" customWidth="1"/>
    <col min="14853" max="14853" width="11.28515625" style="1" customWidth="1"/>
    <col min="14854" max="14854" width="13.7109375" style="1" customWidth="1"/>
    <col min="14855" max="15104" width="9.140625" style="1"/>
    <col min="15105" max="15105" width="5.140625" style="1" customWidth="1"/>
    <col min="15106" max="15106" width="46.85546875" style="1" customWidth="1"/>
    <col min="15107" max="15107" width="7.140625" style="1" customWidth="1"/>
    <col min="15108" max="15108" width="10.140625" style="1" customWidth="1"/>
    <col min="15109" max="15109" width="11.28515625" style="1" customWidth="1"/>
    <col min="15110" max="15110" width="13.7109375" style="1" customWidth="1"/>
    <col min="15111" max="15360" width="9.140625" style="1"/>
    <col min="15361" max="15361" width="5.140625" style="1" customWidth="1"/>
    <col min="15362" max="15362" width="46.85546875" style="1" customWidth="1"/>
    <col min="15363" max="15363" width="7.140625" style="1" customWidth="1"/>
    <col min="15364" max="15364" width="10.140625" style="1" customWidth="1"/>
    <col min="15365" max="15365" width="11.28515625" style="1" customWidth="1"/>
    <col min="15366" max="15366" width="13.7109375" style="1" customWidth="1"/>
    <col min="15367" max="15616" width="9.140625" style="1"/>
    <col min="15617" max="15617" width="5.140625" style="1" customWidth="1"/>
    <col min="15618" max="15618" width="46.85546875" style="1" customWidth="1"/>
    <col min="15619" max="15619" width="7.140625" style="1" customWidth="1"/>
    <col min="15620" max="15620" width="10.140625" style="1" customWidth="1"/>
    <col min="15621" max="15621" width="11.28515625" style="1" customWidth="1"/>
    <col min="15622" max="15622" width="13.7109375" style="1" customWidth="1"/>
    <col min="15623" max="15872" width="9.140625" style="1"/>
    <col min="15873" max="15873" width="5.140625" style="1" customWidth="1"/>
    <col min="15874" max="15874" width="46.85546875" style="1" customWidth="1"/>
    <col min="15875" max="15875" width="7.140625" style="1" customWidth="1"/>
    <col min="15876" max="15876" width="10.140625" style="1" customWidth="1"/>
    <col min="15877" max="15877" width="11.28515625" style="1" customWidth="1"/>
    <col min="15878" max="15878" width="13.7109375" style="1" customWidth="1"/>
    <col min="15879" max="16128" width="9.140625" style="1"/>
    <col min="16129" max="16129" width="5.140625" style="1" customWidth="1"/>
    <col min="16130" max="16130" width="46.85546875" style="1" customWidth="1"/>
    <col min="16131" max="16131" width="7.140625" style="1" customWidth="1"/>
    <col min="16132" max="16132" width="10.140625" style="1" customWidth="1"/>
    <col min="16133" max="16133" width="11.28515625" style="1" customWidth="1"/>
    <col min="16134" max="16134" width="13.7109375" style="1" customWidth="1"/>
    <col min="16135" max="16384" width="9.140625" style="1"/>
  </cols>
  <sheetData>
    <row r="1" spans="1:6" ht="50.25" customHeight="1">
      <c r="A1" s="1580"/>
      <c r="B1" s="1580"/>
      <c r="C1" s="1552" t="s">
        <v>1061</v>
      </c>
      <c r="D1" s="1552"/>
      <c r="E1" s="1552"/>
      <c r="F1" s="1552"/>
    </row>
    <row r="2" spans="1:6" ht="15">
      <c r="A2" s="1581" t="s">
        <v>84</v>
      </c>
      <c r="B2" s="1581"/>
      <c r="C2" s="1581"/>
      <c r="D2" s="1581"/>
      <c r="E2" s="1581"/>
      <c r="F2" s="1581"/>
    </row>
    <row r="3" spans="1:6" ht="9" customHeight="1">
      <c r="A3" s="62"/>
      <c r="B3" s="62"/>
      <c r="C3" s="62"/>
      <c r="D3" s="62"/>
      <c r="E3" s="62"/>
      <c r="F3" s="62"/>
    </row>
    <row r="4" spans="1:6" ht="15" thickBot="1">
      <c r="A4" s="1582" t="s">
        <v>49</v>
      </c>
      <c r="B4" s="1582"/>
      <c r="C4" s="1582"/>
      <c r="D4" s="1582"/>
      <c r="E4" s="1582"/>
      <c r="F4" s="1582"/>
    </row>
    <row r="5" spans="1:6" ht="35.25" customHeight="1" thickBot="1">
      <c r="A5" s="61" t="s">
        <v>39</v>
      </c>
      <c r="B5" s="61" t="s">
        <v>59</v>
      </c>
      <c r="C5" s="61" t="s">
        <v>0</v>
      </c>
      <c r="D5" s="61" t="s">
        <v>1</v>
      </c>
      <c r="E5" s="61" t="s">
        <v>8</v>
      </c>
      <c r="F5" s="60" t="s">
        <v>58</v>
      </c>
    </row>
    <row r="6" spans="1:6">
      <c r="A6" s="46">
        <v>1</v>
      </c>
      <c r="B6" s="3" t="s">
        <v>83</v>
      </c>
      <c r="C6" s="1583">
        <v>921</v>
      </c>
      <c r="D6" s="1586">
        <v>92118</v>
      </c>
      <c r="E6" s="1569">
        <v>2480</v>
      </c>
      <c r="F6" s="45">
        <v>3311272</v>
      </c>
    </row>
    <row r="7" spans="1:6">
      <c r="A7" s="39">
        <v>2</v>
      </c>
      <c r="B7" s="41" t="s">
        <v>82</v>
      </c>
      <c r="C7" s="1584"/>
      <c r="D7" s="1587"/>
      <c r="E7" s="1570"/>
      <c r="F7" s="44">
        <v>2955152</v>
      </c>
    </row>
    <row r="8" spans="1:6">
      <c r="A8" s="39">
        <v>3</v>
      </c>
      <c r="B8" s="41" t="s">
        <v>81</v>
      </c>
      <c r="C8" s="1584"/>
      <c r="D8" s="1587"/>
      <c r="E8" s="1570"/>
      <c r="F8" s="43">
        <v>2850000</v>
      </c>
    </row>
    <row r="9" spans="1:6">
      <c r="A9" s="39">
        <v>4</v>
      </c>
      <c r="B9" s="41" t="s">
        <v>80</v>
      </c>
      <c r="C9" s="1584"/>
      <c r="D9" s="1587"/>
      <c r="E9" s="1570"/>
      <c r="F9" s="43">
        <v>2065000</v>
      </c>
    </row>
    <row r="10" spans="1:6" ht="15" customHeight="1">
      <c r="A10" s="39">
        <v>5</v>
      </c>
      <c r="B10" s="41" t="s">
        <v>79</v>
      </c>
      <c r="C10" s="1584"/>
      <c r="D10" s="1587"/>
      <c r="E10" s="1570"/>
      <c r="F10" s="43">
        <v>3472000</v>
      </c>
    </row>
    <row r="11" spans="1:6">
      <c r="A11" s="39">
        <v>6</v>
      </c>
      <c r="B11" s="41" t="s">
        <v>78</v>
      </c>
      <c r="C11" s="1584"/>
      <c r="D11" s="1587"/>
      <c r="E11" s="1570"/>
      <c r="F11" s="43">
        <v>3178587</v>
      </c>
    </row>
    <row r="12" spans="1:6" ht="13.5" thickBot="1">
      <c r="A12" s="59">
        <v>7</v>
      </c>
      <c r="B12" s="49" t="s">
        <v>77</v>
      </c>
      <c r="C12" s="1584"/>
      <c r="D12" s="1588"/>
      <c r="E12" s="1570"/>
      <c r="F12" s="58">
        <v>470000</v>
      </c>
    </row>
    <row r="13" spans="1:6" ht="13.5" thickBot="1">
      <c r="A13" s="1589" t="s">
        <v>76</v>
      </c>
      <c r="B13" s="1590"/>
      <c r="C13" s="1584"/>
      <c r="D13" s="57">
        <v>92118</v>
      </c>
      <c r="E13" s="1570"/>
      <c r="F13" s="56">
        <f>SUM(F6:F12)</f>
        <v>18302011</v>
      </c>
    </row>
    <row r="14" spans="1:6">
      <c r="A14" s="55">
        <v>8</v>
      </c>
      <c r="B14" s="3" t="s">
        <v>75</v>
      </c>
      <c r="C14" s="1584"/>
      <c r="D14" s="1586">
        <v>92109</v>
      </c>
      <c r="E14" s="1570"/>
      <c r="F14" s="53">
        <v>3000000</v>
      </c>
    </row>
    <row r="15" spans="1:6" ht="13.5" thickBot="1">
      <c r="A15" s="59">
        <v>9</v>
      </c>
      <c r="B15" s="49" t="s">
        <v>74</v>
      </c>
      <c r="C15" s="1584"/>
      <c r="D15" s="1588"/>
      <c r="E15" s="1570"/>
      <c r="F15" s="58">
        <v>1870027</v>
      </c>
    </row>
    <row r="16" spans="1:6" ht="13.5" thickBot="1">
      <c r="A16" s="1589" t="s">
        <v>73</v>
      </c>
      <c r="B16" s="1590"/>
      <c r="C16" s="1584"/>
      <c r="D16" s="57">
        <v>92109</v>
      </c>
      <c r="E16" s="1570"/>
      <c r="F16" s="56">
        <f>SUM(F14:F15)</f>
        <v>4870027</v>
      </c>
    </row>
    <row r="17" spans="1:10">
      <c r="A17" s="55">
        <v>10</v>
      </c>
      <c r="B17" s="3" t="s">
        <v>72</v>
      </c>
      <c r="C17" s="1584"/>
      <c r="D17" s="54">
        <v>92106</v>
      </c>
      <c r="E17" s="1570"/>
      <c r="F17" s="53">
        <v>4358000</v>
      </c>
    </row>
    <row r="18" spans="1:10" ht="25.5">
      <c r="A18" s="39">
        <v>11</v>
      </c>
      <c r="B18" s="41" t="s">
        <v>71</v>
      </c>
      <c r="C18" s="1584"/>
      <c r="D18" s="52">
        <v>92108</v>
      </c>
      <c r="E18" s="1570"/>
      <c r="F18" s="51">
        <v>5800000</v>
      </c>
    </row>
    <row r="19" spans="1:10">
      <c r="A19" s="39">
        <v>12</v>
      </c>
      <c r="B19" s="41" t="s">
        <v>70</v>
      </c>
      <c r="C19" s="1584"/>
      <c r="D19" s="52">
        <v>92110</v>
      </c>
      <c r="E19" s="1570"/>
      <c r="F19" s="51">
        <v>483000</v>
      </c>
    </row>
    <row r="20" spans="1:10" ht="17.25" customHeight="1">
      <c r="A20" s="39">
        <v>13</v>
      </c>
      <c r="B20" s="41" t="s">
        <v>69</v>
      </c>
      <c r="C20" s="1584"/>
      <c r="D20" s="52">
        <v>92114</v>
      </c>
      <c r="E20" s="1570"/>
      <c r="F20" s="51">
        <v>1590000</v>
      </c>
    </row>
    <row r="21" spans="1:10" ht="26.25" thickBot="1">
      <c r="A21" s="50">
        <v>14</v>
      </c>
      <c r="B21" s="49" t="s">
        <v>68</v>
      </c>
      <c r="C21" s="1585"/>
      <c r="D21" s="48">
        <v>92116</v>
      </c>
      <c r="E21" s="1575"/>
      <c r="F21" s="47">
        <v>6831870</v>
      </c>
      <c r="J21" s="7"/>
    </row>
    <row r="22" spans="1:10" ht="15.75" thickBot="1">
      <c r="A22" s="1565" t="s">
        <v>67</v>
      </c>
      <c r="B22" s="1563"/>
      <c r="C22" s="1563"/>
      <c r="D22" s="1566"/>
      <c r="E22" s="27"/>
      <c r="F22" s="31">
        <f>SUM(F13,F16,F17:F21)</f>
        <v>42234908</v>
      </c>
    </row>
    <row r="23" spans="1:10" ht="18" customHeight="1" thickBot="1">
      <c r="A23" s="297">
        <v>15</v>
      </c>
      <c r="B23" s="299" t="s">
        <v>187</v>
      </c>
      <c r="C23" s="300">
        <v>803</v>
      </c>
      <c r="D23" s="301">
        <v>80395</v>
      </c>
      <c r="E23" s="311">
        <v>2520</v>
      </c>
      <c r="F23" s="298">
        <v>1000000</v>
      </c>
    </row>
    <row r="24" spans="1:10" ht="15.75" thickBot="1">
      <c r="A24" s="1562" t="s">
        <v>188</v>
      </c>
      <c r="B24" s="1563"/>
      <c r="C24" s="1564"/>
      <c r="D24" s="1564"/>
      <c r="E24" s="254"/>
      <c r="F24" s="31">
        <f>F23</f>
        <v>1000000</v>
      </c>
    </row>
    <row r="25" spans="1:10" ht="25.5">
      <c r="A25" s="46">
        <v>16</v>
      </c>
      <c r="B25" s="3" t="s">
        <v>911</v>
      </c>
      <c r="C25" s="1567">
        <v>851</v>
      </c>
      <c r="D25" s="1569">
        <v>85111</v>
      </c>
      <c r="E25" s="1578">
        <v>2560</v>
      </c>
      <c r="F25" s="45">
        <v>19500</v>
      </c>
    </row>
    <row r="26" spans="1:10" ht="25.5">
      <c r="A26" s="55">
        <v>17</v>
      </c>
      <c r="B26" s="3" t="s">
        <v>66</v>
      </c>
      <c r="C26" s="1568"/>
      <c r="D26" s="1570"/>
      <c r="E26" s="1579"/>
      <c r="F26" s="45">
        <v>31500</v>
      </c>
    </row>
    <row r="27" spans="1:10">
      <c r="A27" s="55">
        <v>18</v>
      </c>
      <c r="B27" s="41" t="s">
        <v>912</v>
      </c>
      <c r="C27" s="1568"/>
      <c r="D27" s="1570"/>
      <c r="E27" s="1579"/>
      <c r="F27" s="44">
        <v>31500</v>
      </c>
    </row>
    <row r="28" spans="1:10" ht="15" customHeight="1">
      <c r="A28" s="39">
        <v>19</v>
      </c>
      <c r="B28" s="41" t="s">
        <v>64</v>
      </c>
      <c r="C28" s="1568"/>
      <c r="D28" s="1570"/>
      <c r="E28" s="1579"/>
      <c r="F28" s="40">
        <v>31000</v>
      </c>
    </row>
    <row r="29" spans="1:10" ht="15" customHeight="1" thickBot="1">
      <c r="A29" s="39">
        <v>20</v>
      </c>
      <c r="B29" s="41" t="s">
        <v>65</v>
      </c>
      <c r="C29" s="1568"/>
      <c r="D29" s="1570"/>
      <c r="E29" s="1579"/>
      <c r="F29" s="43">
        <v>31000</v>
      </c>
    </row>
    <row r="30" spans="1:10" s="1092" customFormat="1" ht="15" customHeight="1" thickBot="1">
      <c r="A30" s="1576" t="s">
        <v>63</v>
      </c>
      <c r="B30" s="1577"/>
      <c r="C30" s="1568"/>
      <c r="D30" s="1090">
        <v>85111</v>
      </c>
      <c r="E30" s="1579"/>
      <c r="F30" s="1091">
        <f>SUM(F25:F29)</f>
        <v>144500</v>
      </c>
    </row>
    <row r="31" spans="1:10" ht="28.5" customHeight="1">
      <c r="A31" s="39">
        <v>21</v>
      </c>
      <c r="B31" s="41" t="s">
        <v>158</v>
      </c>
      <c r="C31" s="1568"/>
      <c r="D31" s="242">
        <v>85120</v>
      </c>
      <c r="E31" s="1579"/>
      <c r="F31" s="42">
        <v>31000</v>
      </c>
    </row>
    <row r="32" spans="1:10" ht="15.75" customHeight="1" thickBot="1">
      <c r="A32" s="39">
        <v>22</v>
      </c>
      <c r="B32" s="4" t="s">
        <v>62</v>
      </c>
      <c r="C32" s="1568"/>
      <c r="D32" s="38">
        <v>85148</v>
      </c>
      <c r="E32" s="1579"/>
      <c r="F32" s="19">
        <v>1064950</v>
      </c>
    </row>
    <row r="33" spans="1:8" ht="15.75" thickBot="1">
      <c r="A33" s="1565" t="s">
        <v>61</v>
      </c>
      <c r="B33" s="1563"/>
      <c r="C33" s="1563"/>
      <c r="D33" s="1566"/>
      <c r="E33" s="254"/>
      <c r="F33" s="31">
        <f>SUM(F30:F32)</f>
        <v>1240450</v>
      </c>
    </row>
    <row r="34" spans="1:8" ht="13.5" thickBot="1">
      <c r="A34" s="36">
        <v>23</v>
      </c>
      <c r="B34" s="37" t="s">
        <v>60</v>
      </c>
      <c r="C34" s="36">
        <v>853</v>
      </c>
      <c r="D34" s="35">
        <v>85311</v>
      </c>
      <c r="E34" s="34">
        <v>2570</v>
      </c>
      <c r="F34" s="33">
        <v>65778</v>
      </c>
    </row>
    <row r="35" spans="1:8" ht="15.75" thickBot="1">
      <c r="A35" s="1565" t="s">
        <v>51</v>
      </c>
      <c r="B35" s="1563"/>
      <c r="C35" s="1563"/>
      <c r="D35" s="1566"/>
      <c r="E35" s="32"/>
      <c r="F35" s="31">
        <f>SUM(F34:F34)</f>
        <v>65778</v>
      </c>
    </row>
    <row r="36" spans="1:8" ht="22.5" customHeight="1" thickBot="1">
      <c r="A36" s="1556" t="s">
        <v>50</v>
      </c>
      <c r="B36" s="1557"/>
      <c r="C36" s="1557"/>
      <c r="D36" s="1558"/>
      <c r="E36" s="30"/>
      <c r="F36" s="29">
        <f>SUM(F22,F33,F35,F24)</f>
        <v>44541136</v>
      </c>
      <c r="H36" s="2"/>
    </row>
    <row r="37" spans="1:8" ht="10.5" customHeight="1">
      <c r="A37" s="28"/>
      <c r="B37" s="28"/>
      <c r="C37" s="28"/>
      <c r="D37" s="28"/>
      <c r="E37" s="28"/>
      <c r="F37" s="28"/>
    </row>
    <row r="38" spans="1:8" ht="15" thickBot="1">
      <c r="A38" s="1571" t="s">
        <v>48</v>
      </c>
      <c r="B38" s="1571"/>
      <c r="C38" s="1571"/>
      <c r="D38" s="1571"/>
      <c r="E38" s="1571"/>
      <c r="F38" s="1571"/>
    </row>
    <row r="39" spans="1:8" ht="30.75" thickBot="1">
      <c r="A39" s="26" t="s">
        <v>39</v>
      </c>
      <c r="B39" s="27" t="s">
        <v>59</v>
      </c>
      <c r="C39" s="26" t="s">
        <v>0</v>
      </c>
      <c r="D39" s="27" t="s">
        <v>1</v>
      </c>
      <c r="E39" s="26" t="s">
        <v>8</v>
      </c>
      <c r="F39" s="25" t="s">
        <v>58</v>
      </c>
    </row>
    <row r="40" spans="1:8">
      <c r="A40" s="24">
        <v>1</v>
      </c>
      <c r="B40" s="23" t="s">
        <v>57</v>
      </c>
      <c r="C40" s="1572">
        <v>853</v>
      </c>
      <c r="D40" s="1572">
        <v>85311</v>
      </c>
      <c r="E40" s="1569">
        <v>2580</v>
      </c>
      <c r="F40" s="22">
        <v>82223</v>
      </c>
      <c r="H40" s="2"/>
    </row>
    <row r="41" spans="1:8">
      <c r="A41" s="21">
        <v>2</v>
      </c>
      <c r="B41" s="20" t="s">
        <v>56</v>
      </c>
      <c r="C41" s="1573"/>
      <c r="D41" s="1573"/>
      <c r="E41" s="1570"/>
      <c r="F41" s="19">
        <v>82223</v>
      </c>
    </row>
    <row r="42" spans="1:8">
      <c r="A42" s="21">
        <v>3</v>
      </c>
      <c r="B42" s="20" t="s">
        <v>55</v>
      </c>
      <c r="C42" s="1573"/>
      <c r="D42" s="1573"/>
      <c r="E42" s="1570"/>
      <c r="F42" s="19">
        <v>61667</v>
      </c>
    </row>
    <row r="43" spans="1:8">
      <c r="A43" s="21">
        <v>4</v>
      </c>
      <c r="B43" s="20" t="s">
        <v>54</v>
      </c>
      <c r="C43" s="1573"/>
      <c r="D43" s="1573"/>
      <c r="E43" s="1570"/>
      <c r="F43" s="19">
        <v>117167</v>
      </c>
    </row>
    <row r="44" spans="1:8">
      <c r="A44" s="21">
        <v>5</v>
      </c>
      <c r="B44" s="20" t="s">
        <v>53</v>
      </c>
      <c r="C44" s="1573"/>
      <c r="D44" s="1573"/>
      <c r="E44" s="1570"/>
      <c r="F44" s="19">
        <v>65778</v>
      </c>
    </row>
    <row r="45" spans="1:8">
      <c r="A45" s="21">
        <v>6</v>
      </c>
      <c r="B45" s="20" t="s">
        <v>52</v>
      </c>
      <c r="C45" s="1573"/>
      <c r="D45" s="1573"/>
      <c r="E45" s="1570"/>
      <c r="F45" s="19">
        <v>55500</v>
      </c>
    </row>
    <row r="46" spans="1:8">
      <c r="A46" s="272">
        <v>7</v>
      </c>
      <c r="B46" s="274" t="s">
        <v>159</v>
      </c>
      <c r="C46" s="1573"/>
      <c r="D46" s="1573"/>
      <c r="E46" s="1570"/>
      <c r="F46" s="273">
        <v>37000</v>
      </c>
    </row>
    <row r="47" spans="1:8" ht="13.5" thickBot="1">
      <c r="A47" s="18">
        <v>8</v>
      </c>
      <c r="B47" s="274" t="s">
        <v>160</v>
      </c>
      <c r="C47" s="1574"/>
      <c r="D47" s="1574"/>
      <c r="E47" s="1575"/>
      <c r="F47" s="17">
        <v>51389</v>
      </c>
    </row>
    <row r="48" spans="1:8" ht="15.75" thickBot="1">
      <c r="A48" s="1559" t="s">
        <v>51</v>
      </c>
      <c r="B48" s="1560"/>
      <c r="C48" s="1560"/>
      <c r="D48" s="1561"/>
      <c r="E48" s="16"/>
      <c r="F48" s="15">
        <f>SUM(F40:F47)</f>
        <v>552947</v>
      </c>
      <c r="G48" s="2"/>
    </row>
    <row r="49" spans="1:9" ht="20.25" customHeight="1" thickBot="1">
      <c r="A49" s="1556" t="s">
        <v>50</v>
      </c>
      <c r="B49" s="1557"/>
      <c r="C49" s="1557"/>
      <c r="D49" s="1557"/>
      <c r="E49" s="1558"/>
      <c r="F49" s="14">
        <f>SUM(F48)</f>
        <v>552947</v>
      </c>
      <c r="G49" s="2"/>
      <c r="H49" s="2"/>
    </row>
    <row r="51" spans="1:9">
      <c r="F51" s="2"/>
      <c r="G51" s="2"/>
      <c r="H51" s="2"/>
      <c r="I51" s="2"/>
    </row>
    <row r="52" spans="1:9">
      <c r="F52" s="2"/>
      <c r="G52" s="2"/>
      <c r="H52" s="2"/>
      <c r="I52" s="2"/>
    </row>
    <row r="53" spans="1:9">
      <c r="F53" s="2"/>
      <c r="G53" s="2"/>
      <c r="H53" s="2"/>
      <c r="I53" s="2"/>
    </row>
    <row r="54" spans="1:9">
      <c r="F54" s="2"/>
      <c r="G54" s="2"/>
      <c r="H54" s="2"/>
      <c r="I54" s="2"/>
    </row>
    <row r="55" spans="1:9">
      <c r="F55" s="2"/>
      <c r="G55" s="2"/>
      <c r="H55" s="2"/>
      <c r="I55" s="2"/>
    </row>
    <row r="56" spans="1:9">
      <c r="F56" s="2"/>
      <c r="G56" s="2"/>
      <c r="H56" s="2"/>
      <c r="I56" s="2"/>
    </row>
    <row r="57" spans="1:9">
      <c r="F57" s="2"/>
      <c r="G57" s="2"/>
      <c r="H57" s="2"/>
      <c r="I57" s="2"/>
    </row>
    <row r="58" spans="1:9">
      <c r="B58" s="13"/>
      <c r="F58" s="2"/>
      <c r="G58" s="2"/>
      <c r="H58" s="2"/>
      <c r="I58" s="2"/>
    </row>
    <row r="59" spans="1:9">
      <c r="B59" s="13"/>
    </row>
    <row r="60" spans="1:9">
      <c r="B60" s="13"/>
    </row>
  </sheetData>
  <mergeCells count="25">
    <mergeCell ref="A1:B1"/>
    <mergeCell ref="C1:F1"/>
    <mergeCell ref="A2:F2"/>
    <mergeCell ref="A4:F4"/>
    <mergeCell ref="C6:C21"/>
    <mergeCell ref="D6:D12"/>
    <mergeCell ref="E6:E21"/>
    <mergeCell ref="A13:B13"/>
    <mergeCell ref="D14:D15"/>
    <mergeCell ref="A16:B16"/>
    <mergeCell ref="A49:E49"/>
    <mergeCell ref="A48:D48"/>
    <mergeCell ref="A24:D24"/>
    <mergeCell ref="A22:D22"/>
    <mergeCell ref="C25:C32"/>
    <mergeCell ref="D25:D29"/>
    <mergeCell ref="A35:D35"/>
    <mergeCell ref="A36:D36"/>
    <mergeCell ref="A38:F38"/>
    <mergeCell ref="C40:C47"/>
    <mergeCell ref="D40:D47"/>
    <mergeCell ref="E40:E47"/>
    <mergeCell ref="A30:B30"/>
    <mergeCell ref="E25:E32"/>
    <mergeCell ref="A33:D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N48"/>
  <sheetViews>
    <sheetView view="pageBreakPreview" zoomScale="90" zoomScaleNormal="100" zoomScaleSheetLayoutView="90" workbookViewId="0">
      <selection activeCell="I1" sqref="I1"/>
    </sheetView>
  </sheetViews>
  <sheetFormatPr defaultRowHeight="12.75"/>
  <cols>
    <col min="1" max="1" width="6.28515625" style="1" customWidth="1"/>
    <col min="2" max="2" width="34.42578125" style="1" customWidth="1"/>
    <col min="3" max="3" width="9.140625" style="1"/>
    <col min="4" max="4" width="10.28515625" style="1" customWidth="1"/>
    <col min="5" max="8" width="13.7109375" style="1" customWidth="1"/>
    <col min="9" max="9" width="50" style="1" customWidth="1"/>
    <col min="10" max="10" width="20.28515625" style="1" customWidth="1"/>
    <col min="11" max="11" width="16.140625" style="1" customWidth="1"/>
    <col min="12" max="256" width="9.140625" style="1"/>
    <col min="257" max="257" width="6.28515625" style="1" customWidth="1"/>
    <col min="258" max="258" width="34.42578125" style="1" customWidth="1"/>
    <col min="259" max="259" width="9.140625" style="1"/>
    <col min="260" max="260" width="10.28515625" style="1" customWidth="1"/>
    <col min="261" max="262" width="12.7109375" style="1" customWidth="1"/>
    <col min="263" max="263" width="11.85546875" style="1" customWidth="1"/>
    <col min="264" max="264" width="15.140625" style="1" customWidth="1"/>
    <col min="265" max="265" width="49" style="1" customWidth="1"/>
    <col min="266" max="512" width="9.140625" style="1"/>
    <col min="513" max="513" width="6.28515625" style="1" customWidth="1"/>
    <col min="514" max="514" width="34.42578125" style="1" customWidth="1"/>
    <col min="515" max="515" width="9.140625" style="1"/>
    <col min="516" max="516" width="10.28515625" style="1" customWidth="1"/>
    <col min="517" max="518" width="12.7109375" style="1" customWidth="1"/>
    <col min="519" max="519" width="11.85546875" style="1" customWidth="1"/>
    <col min="520" max="520" width="15.140625" style="1" customWidth="1"/>
    <col min="521" max="521" width="49" style="1" customWidth="1"/>
    <col min="522" max="768" width="9.140625" style="1"/>
    <col min="769" max="769" width="6.28515625" style="1" customWidth="1"/>
    <col min="770" max="770" width="34.42578125" style="1" customWidth="1"/>
    <col min="771" max="771" width="9.140625" style="1"/>
    <col min="772" max="772" width="10.28515625" style="1" customWidth="1"/>
    <col min="773" max="774" width="12.7109375" style="1" customWidth="1"/>
    <col min="775" max="775" width="11.85546875" style="1" customWidth="1"/>
    <col min="776" max="776" width="15.140625" style="1" customWidth="1"/>
    <col min="777" max="777" width="49" style="1" customWidth="1"/>
    <col min="778" max="1024" width="9.140625" style="1"/>
    <col min="1025" max="1025" width="6.28515625" style="1" customWidth="1"/>
    <col min="1026" max="1026" width="34.42578125" style="1" customWidth="1"/>
    <col min="1027" max="1027" width="9.140625" style="1"/>
    <col min="1028" max="1028" width="10.28515625" style="1" customWidth="1"/>
    <col min="1029" max="1030" width="12.7109375" style="1" customWidth="1"/>
    <col min="1031" max="1031" width="11.85546875" style="1" customWidth="1"/>
    <col min="1032" max="1032" width="15.140625" style="1" customWidth="1"/>
    <col min="1033" max="1033" width="49" style="1" customWidth="1"/>
    <col min="1034" max="1280" width="9.140625" style="1"/>
    <col min="1281" max="1281" width="6.28515625" style="1" customWidth="1"/>
    <col min="1282" max="1282" width="34.42578125" style="1" customWidth="1"/>
    <col min="1283" max="1283" width="9.140625" style="1"/>
    <col min="1284" max="1284" width="10.28515625" style="1" customWidth="1"/>
    <col min="1285" max="1286" width="12.7109375" style="1" customWidth="1"/>
    <col min="1287" max="1287" width="11.85546875" style="1" customWidth="1"/>
    <col min="1288" max="1288" width="15.140625" style="1" customWidth="1"/>
    <col min="1289" max="1289" width="49" style="1" customWidth="1"/>
    <col min="1290" max="1536" width="9.140625" style="1"/>
    <col min="1537" max="1537" width="6.28515625" style="1" customWidth="1"/>
    <col min="1538" max="1538" width="34.42578125" style="1" customWidth="1"/>
    <col min="1539" max="1539" width="9.140625" style="1"/>
    <col min="1540" max="1540" width="10.28515625" style="1" customWidth="1"/>
    <col min="1541" max="1542" width="12.7109375" style="1" customWidth="1"/>
    <col min="1543" max="1543" width="11.85546875" style="1" customWidth="1"/>
    <col min="1544" max="1544" width="15.140625" style="1" customWidth="1"/>
    <col min="1545" max="1545" width="49" style="1" customWidth="1"/>
    <col min="1546" max="1792" width="9.140625" style="1"/>
    <col min="1793" max="1793" width="6.28515625" style="1" customWidth="1"/>
    <col min="1794" max="1794" width="34.42578125" style="1" customWidth="1"/>
    <col min="1795" max="1795" width="9.140625" style="1"/>
    <col min="1796" max="1796" width="10.28515625" style="1" customWidth="1"/>
    <col min="1797" max="1798" width="12.7109375" style="1" customWidth="1"/>
    <col min="1799" max="1799" width="11.85546875" style="1" customWidth="1"/>
    <col min="1800" max="1800" width="15.140625" style="1" customWidth="1"/>
    <col min="1801" max="1801" width="49" style="1" customWidth="1"/>
    <col min="1802" max="2048" width="9.140625" style="1"/>
    <col min="2049" max="2049" width="6.28515625" style="1" customWidth="1"/>
    <col min="2050" max="2050" width="34.42578125" style="1" customWidth="1"/>
    <col min="2051" max="2051" width="9.140625" style="1"/>
    <col min="2052" max="2052" width="10.28515625" style="1" customWidth="1"/>
    <col min="2053" max="2054" width="12.7109375" style="1" customWidth="1"/>
    <col min="2055" max="2055" width="11.85546875" style="1" customWidth="1"/>
    <col min="2056" max="2056" width="15.140625" style="1" customWidth="1"/>
    <col min="2057" max="2057" width="49" style="1" customWidth="1"/>
    <col min="2058" max="2304" width="9.140625" style="1"/>
    <col min="2305" max="2305" width="6.28515625" style="1" customWidth="1"/>
    <col min="2306" max="2306" width="34.42578125" style="1" customWidth="1"/>
    <col min="2307" max="2307" width="9.140625" style="1"/>
    <col min="2308" max="2308" width="10.28515625" style="1" customWidth="1"/>
    <col min="2309" max="2310" width="12.7109375" style="1" customWidth="1"/>
    <col min="2311" max="2311" width="11.85546875" style="1" customWidth="1"/>
    <col min="2312" max="2312" width="15.140625" style="1" customWidth="1"/>
    <col min="2313" max="2313" width="49" style="1" customWidth="1"/>
    <col min="2314" max="2560" width="9.140625" style="1"/>
    <col min="2561" max="2561" width="6.28515625" style="1" customWidth="1"/>
    <col min="2562" max="2562" width="34.42578125" style="1" customWidth="1"/>
    <col min="2563" max="2563" width="9.140625" style="1"/>
    <col min="2564" max="2564" width="10.28515625" style="1" customWidth="1"/>
    <col min="2565" max="2566" width="12.7109375" style="1" customWidth="1"/>
    <col min="2567" max="2567" width="11.85546875" style="1" customWidth="1"/>
    <col min="2568" max="2568" width="15.140625" style="1" customWidth="1"/>
    <col min="2569" max="2569" width="49" style="1" customWidth="1"/>
    <col min="2570" max="2816" width="9.140625" style="1"/>
    <col min="2817" max="2817" width="6.28515625" style="1" customWidth="1"/>
    <col min="2818" max="2818" width="34.42578125" style="1" customWidth="1"/>
    <col min="2819" max="2819" width="9.140625" style="1"/>
    <col min="2820" max="2820" width="10.28515625" style="1" customWidth="1"/>
    <col min="2821" max="2822" width="12.7109375" style="1" customWidth="1"/>
    <col min="2823" max="2823" width="11.85546875" style="1" customWidth="1"/>
    <col min="2824" max="2824" width="15.140625" style="1" customWidth="1"/>
    <col min="2825" max="2825" width="49" style="1" customWidth="1"/>
    <col min="2826" max="3072" width="9.140625" style="1"/>
    <col min="3073" max="3073" width="6.28515625" style="1" customWidth="1"/>
    <col min="3074" max="3074" width="34.42578125" style="1" customWidth="1"/>
    <col min="3075" max="3075" width="9.140625" style="1"/>
    <col min="3076" max="3076" width="10.28515625" style="1" customWidth="1"/>
    <col min="3077" max="3078" width="12.7109375" style="1" customWidth="1"/>
    <col min="3079" max="3079" width="11.85546875" style="1" customWidth="1"/>
    <col min="3080" max="3080" width="15.140625" style="1" customWidth="1"/>
    <col min="3081" max="3081" width="49" style="1" customWidth="1"/>
    <col min="3082" max="3328" width="9.140625" style="1"/>
    <col min="3329" max="3329" width="6.28515625" style="1" customWidth="1"/>
    <col min="3330" max="3330" width="34.42578125" style="1" customWidth="1"/>
    <col min="3331" max="3331" width="9.140625" style="1"/>
    <col min="3332" max="3332" width="10.28515625" style="1" customWidth="1"/>
    <col min="3333" max="3334" width="12.7109375" style="1" customWidth="1"/>
    <col min="3335" max="3335" width="11.85546875" style="1" customWidth="1"/>
    <col min="3336" max="3336" width="15.140625" style="1" customWidth="1"/>
    <col min="3337" max="3337" width="49" style="1" customWidth="1"/>
    <col min="3338" max="3584" width="9.140625" style="1"/>
    <col min="3585" max="3585" width="6.28515625" style="1" customWidth="1"/>
    <col min="3586" max="3586" width="34.42578125" style="1" customWidth="1"/>
    <col min="3587" max="3587" width="9.140625" style="1"/>
    <col min="3588" max="3588" width="10.28515625" style="1" customWidth="1"/>
    <col min="3589" max="3590" width="12.7109375" style="1" customWidth="1"/>
    <col min="3591" max="3591" width="11.85546875" style="1" customWidth="1"/>
    <col min="3592" max="3592" width="15.140625" style="1" customWidth="1"/>
    <col min="3593" max="3593" width="49" style="1" customWidth="1"/>
    <col min="3594" max="3840" width="9.140625" style="1"/>
    <col min="3841" max="3841" width="6.28515625" style="1" customWidth="1"/>
    <col min="3842" max="3842" width="34.42578125" style="1" customWidth="1"/>
    <col min="3843" max="3843" width="9.140625" style="1"/>
    <col min="3844" max="3844" width="10.28515625" style="1" customWidth="1"/>
    <col min="3845" max="3846" width="12.7109375" style="1" customWidth="1"/>
    <col min="3847" max="3847" width="11.85546875" style="1" customWidth="1"/>
    <col min="3848" max="3848" width="15.140625" style="1" customWidth="1"/>
    <col min="3849" max="3849" width="49" style="1" customWidth="1"/>
    <col min="3850" max="4096" width="9.140625" style="1"/>
    <col min="4097" max="4097" width="6.28515625" style="1" customWidth="1"/>
    <col min="4098" max="4098" width="34.42578125" style="1" customWidth="1"/>
    <col min="4099" max="4099" width="9.140625" style="1"/>
    <col min="4100" max="4100" width="10.28515625" style="1" customWidth="1"/>
    <col min="4101" max="4102" width="12.7109375" style="1" customWidth="1"/>
    <col min="4103" max="4103" width="11.85546875" style="1" customWidth="1"/>
    <col min="4104" max="4104" width="15.140625" style="1" customWidth="1"/>
    <col min="4105" max="4105" width="49" style="1" customWidth="1"/>
    <col min="4106" max="4352" width="9.140625" style="1"/>
    <col min="4353" max="4353" width="6.28515625" style="1" customWidth="1"/>
    <col min="4354" max="4354" width="34.42578125" style="1" customWidth="1"/>
    <col min="4355" max="4355" width="9.140625" style="1"/>
    <col min="4356" max="4356" width="10.28515625" style="1" customWidth="1"/>
    <col min="4357" max="4358" width="12.7109375" style="1" customWidth="1"/>
    <col min="4359" max="4359" width="11.85546875" style="1" customWidth="1"/>
    <col min="4360" max="4360" width="15.140625" style="1" customWidth="1"/>
    <col min="4361" max="4361" width="49" style="1" customWidth="1"/>
    <col min="4362" max="4608" width="9.140625" style="1"/>
    <col min="4609" max="4609" width="6.28515625" style="1" customWidth="1"/>
    <col min="4610" max="4610" width="34.42578125" style="1" customWidth="1"/>
    <col min="4611" max="4611" width="9.140625" style="1"/>
    <col min="4612" max="4612" width="10.28515625" style="1" customWidth="1"/>
    <col min="4613" max="4614" width="12.7109375" style="1" customWidth="1"/>
    <col min="4615" max="4615" width="11.85546875" style="1" customWidth="1"/>
    <col min="4616" max="4616" width="15.140625" style="1" customWidth="1"/>
    <col min="4617" max="4617" width="49" style="1" customWidth="1"/>
    <col min="4618" max="4864" width="9.140625" style="1"/>
    <col min="4865" max="4865" width="6.28515625" style="1" customWidth="1"/>
    <col min="4866" max="4866" width="34.42578125" style="1" customWidth="1"/>
    <col min="4867" max="4867" width="9.140625" style="1"/>
    <col min="4868" max="4868" width="10.28515625" style="1" customWidth="1"/>
    <col min="4869" max="4870" width="12.7109375" style="1" customWidth="1"/>
    <col min="4871" max="4871" width="11.85546875" style="1" customWidth="1"/>
    <col min="4872" max="4872" width="15.140625" style="1" customWidth="1"/>
    <col min="4873" max="4873" width="49" style="1" customWidth="1"/>
    <col min="4874" max="5120" width="9.140625" style="1"/>
    <col min="5121" max="5121" width="6.28515625" style="1" customWidth="1"/>
    <col min="5122" max="5122" width="34.42578125" style="1" customWidth="1"/>
    <col min="5123" max="5123" width="9.140625" style="1"/>
    <col min="5124" max="5124" width="10.28515625" style="1" customWidth="1"/>
    <col min="5125" max="5126" width="12.7109375" style="1" customWidth="1"/>
    <col min="5127" max="5127" width="11.85546875" style="1" customWidth="1"/>
    <col min="5128" max="5128" width="15.140625" style="1" customWidth="1"/>
    <col min="5129" max="5129" width="49" style="1" customWidth="1"/>
    <col min="5130" max="5376" width="9.140625" style="1"/>
    <col min="5377" max="5377" width="6.28515625" style="1" customWidth="1"/>
    <col min="5378" max="5378" width="34.42578125" style="1" customWidth="1"/>
    <col min="5379" max="5379" width="9.140625" style="1"/>
    <col min="5380" max="5380" width="10.28515625" style="1" customWidth="1"/>
    <col min="5381" max="5382" width="12.7109375" style="1" customWidth="1"/>
    <col min="5383" max="5383" width="11.85546875" style="1" customWidth="1"/>
    <col min="5384" max="5384" width="15.140625" style="1" customWidth="1"/>
    <col min="5385" max="5385" width="49" style="1" customWidth="1"/>
    <col min="5386" max="5632" width="9.140625" style="1"/>
    <col min="5633" max="5633" width="6.28515625" style="1" customWidth="1"/>
    <col min="5634" max="5634" width="34.42578125" style="1" customWidth="1"/>
    <col min="5635" max="5635" width="9.140625" style="1"/>
    <col min="5636" max="5636" width="10.28515625" style="1" customWidth="1"/>
    <col min="5637" max="5638" width="12.7109375" style="1" customWidth="1"/>
    <col min="5639" max="5639" width="11.85546875" style="1" customWidth="1"/>
    <col min="5640" max="5640" width="15.140625" style="1" customWidth="1"/>
    <col min="5641" max="5641" width="49" style="1" customWidth="1"/>
    <col min="5642" max="5888" width="9.140625" style="1"/>
    <col min="5889" max="5889" width="6.28515625" style="1" customWidth="1"/>
    <col min="5890" max="5890" width="34.42578125" style="1" customWidth="1"/>
    <col min="5891" max="5891" width="9.140625" style="1"/>
    <col min="5892" max="5892" width="10.28515625" style="1" customWidth="1"/>
    <col min="5893" max="5894" width="12.7109375" style="1" customWidth="1"/>
    <col min="5895" max="5895" width="11.85546875" style="1" customWidth="1"/>
    <col min="5896" max="5896" width="15.140625" style="1" customWidth="1"/>
    <col min="5897" max="5897" width="49" style="1" customWidth="1"/>
    <col min="5898" max="6144" width="9.140625" style="1"/>
    <col min="6145" max="6145" width="6.28515625" style="1" customWidth="1"/>
    <col min="6146" max="6146" width="34.42578125" style="1" customWidth="1"/>
    <col min="6147" max="6147" width="9.140625" style="1"/>
    <col min="6148" max="6148" width="10.28515625" style="1" customWidth="1"/>
    <col min="6149" max="6150" width="12.7109375" style="1" customWidth="1"/>
    <col min="6151" max="6151" width="11.85546875" style="1" customWidth="1"/>
    <col min="6152" max="6152" width="15.140625" style="1" customWidth="1"/>
    <col min="6153" max="6153" width="49" style="1" customWidth="1"/>
    <col min="6154" max="6400" width="9.140625" style="1"/>
    <col min="6401" max="6401" width="6.28515625" style="1" customWidth="1"/>
    <col min="6402" max="6402" width="34.42578125" style="1" customWidth="1"/>
    <col min="6403" max="6403" width="9.140625" style="1"/>
    <col min="6404" max="6404" width="10.28515625" style="1" customWidth="1"/>
    <col min="6405" max="6406" width="12.7109375" style="1" customWidth="1"/>
    <col min="6407" max="6407" width="11.85546875" style="1" customWidth="1"/>
    <col min="6408" max="6408" width="15.140625" style="1" customWidth="1"/>
    <col min="6409" max="6409" width="49" style="1" customWidth="1"/>
    <col min="6410" max="6656" width="9.140625" style="1"/>
    <col min="6657" max="6657" width="6.28515625" style="1" customWidth="1"/>
    <col min="6658" max="6658" width="34.42578125" style="1" customWidth="1"/>
    <col min="6659" max="6659" width="9.140625" style="1"/>
    <col min="6660" max="6660" width="10.28515625" style="1" customWidth="1"/>
    <col min="6661" max="6662" width="12.7109375" style="1" customWidth="1"/>
    <col min="6663" max="6663" width="11.85546875" style="1" customWidth="1"/>
    <col min="6664" max="6664" width="15.140625" style="1" customWidth="1"/>
    <col min="6665" max="6665" width="49" style="1" customWidth="1"/>
    <col min="6666" max="6912" width="9.140625" style="1"/>
    <col min="6913" max="6913" width="6.28515625" style="1" customWidth="1"/>
    <col min="6914" max="6914" width="34.42578125" style="1" customWidth="1"/>
    <col min="6915" max="6915" width="9.140625" style="1"/>
    <col min="6916" max="6916" width="10.28515625" style="1" customWidth="1"/>
    <col min="6917" max="6918" width="12.7109375" style="1" customWidth="1"/>
    <col min="6919" max="6919" width="11.85546875" style="1" customWidth="1"/>
    <col min="6920" max="6920" width="15.140625" style="1" customWidth="1"/>
    <col min="6921" max="6921" width="49" style="1" customWidth="1"/>
    <col min="6922" max="7168" width="9.140625" style="1"/>
    <col min="7169" max="7169" width="6.28515625" style="1" customWidth="1"/>
    <col min="7170" max="7170" width="34.42578125" style="1" customWidth="1"/>
    <col min="7171" max="7171" width="9.140625" style="1"/>
    <col min="7172" max="7172" width="10.28515625" style="1" customWidth="1"/>
    <col min="7173" max="7174" width="12.7109375" style="1" customWidth="1"/>
    <col min="7175" max="7175" width="11.85546875" style="1" customWidth="1"/>
    <col min="7176" max="7176" width="15.140625" style="1" customWidth="1"/>
    <col min="7177" max="7177" width="49" style="1" customWidth="1"/>
    <col min="7178" max="7424" width="9.140625" style="1"/>
    <col min="7425" max="7425" width="6.28515625" style="1" customWidth="1"/>
    <col min="7426" max="7426" width="34.42578125" style="1" customWidth="1"/>
    <col min="7427" max="7427" width="9.140625" style="1"/>
    <col min="7428" max="7428" width="10.28515625" style="1" customWidth="1"/>
    <col min="7429" max="7430" width="12.7109375" style="1" customWidth="1"/>
    <col min="7431" max="7431" width="11.85546875" style="1" customWidth="1"/>
    <col min="7432" max="7432" width="15.140625" style="1" customWidth="1"/>
    <col min="7433" max="7433" width="49" style="1" customWidth="1"/>
    <col min="7434" max="7680" width="9.140625" style="1"/>
    <col min="7681" max="7681" width="6.28515625" style="1" customWidth="1"/>
    <col min="7682" max="7682" width="34.42578125" style="1" customWidth="1"/>
    <col min="7683" max="7683" width="9.140625" style="1"/>
    <col min="7684" max="7684" width="10.28515625" style="1" customWidth="1"/>
    <col min="7685" max="7686" width="12.7109375" style="1" customWidth="1"/>
    <col min="7687" max="7687" width="11.85546875" style="1" customWidth="1"/>
    <col min="7688" max="7688" width="15.140625" style="1" customWidth="1"/>
    <col min="7689" max="7689" width="49" style="1" customWidth="1"/>
    <col min="7690" max="7936" width="9.140625" style="1"/>
    <col min="7937" max="7937" width="6.28515625" style="1" customWidth="1"/>
    <col min="7938" max="7938" width="34.42578125" style="1" customWidth="1"/>
    <col min="7939" max="7939" width="9.140625" style="1"/>
    <col min="7940" max="7940" width="10.28515625" style="1" customWidth="1"/>
    <col min="7941" max="7942" width="12.7109375" style="1" customWidth="1"/>
    <col min="7943" max="7943" width="11.85546875" style="1" customWidth="1"/>
    <col min="7944" max="7944" width="15.140625" style="1" customWidth="1"/>
    <col min="7945" max="7945" width="49" style="1" customWidth="1"/>
    <col min="7946" max="8192" width="9.140625" style="1"/>
    <col min="8193" max="8193" width="6.28515625" style="1" customWidth="1"/>
    <col min="8194" max="8194" width="34.42578125" style="1" customWidth="1"/>
    <col min="8195" max="8195" width="9.140625" style="1"/>
    <col min="8196" max="8196" width="10.28515625" style="1" customWidth="1"/>
    <col min="8197" max="8198" width="12.7109375" style="1" customWidth="1"/>
    <col min="8199" max="8199" width="11.85546875" style="1" customWidth="1"/>
    <col min="8200" max="8200" width="15.140625" style="1" customWidth="1"/>
    <col min="8201" max="8201" width="49" style="1" customWidth="1"/>
    <col min="8202" max="8448" width="9.140625" style="1"/>
    <col min="8449" max="8449" width="6.28515625" style="1" customWidth="1"/>
    <col min="8450" max="8450" width="34.42578125" style="1" customWidth="1"/>
    <col min="8451" max="8451" width="9.140625" style="1"/>
    <col min="8452" max="8452" width="10.28515625" style="1" customWidth="1"/>
    <col min="8453" max="8454" width="12.7109375" style="1" customWidth="1"/>
    <col min="8455" max="8455" width="11.85546875" style="1" customWidth="1"/>
    <col min="8456" max="8456" width="15.140625" style="1" customWidth="1"/>
    <col min="8457" max="8457" width="49" style="1" customWidth="1"/>
    <col min="8458" max="8704" width="9.140625" style="1"/>
    <col min="8705" max="8705" width="6.28515625" style="1" customWidth="1"/>
    <col min="8706" max="8706" width="34.42578125" style="1" customWidth="1"/>
    <col min="8707" max="8707" width="9.140625" style="1"/>
    <col min="8708" max="8708" width="10.28515625" style="1" customWidth="1"/>
    <col min="8709" max="8710" width="12.7109375" style="1" customWidth="1"/>
    <col min="8711" max="8711" width="11.85546875" style="1" customWidth="1"/>
    <col min="8712" max="8712" width="15.140625" style="1" customWidth="1"/>
    <col min="8713" max="8713" width="49" style="1" customWidth="1"/>
    <col min="8714" max="8960" width="9.140625" style="1"/>
    <col min="8961" max="8961" width="6.28515625" style="1" customWidth="1"/>
    <col min="8962" max="8962" width="34.42578125" style="1" customWidth="1"/>
    <col min="8963" max="8963" width="9.140625" style="1"/>
    <col min="8964" max="8964" width="10.28515625" style="1" customWidth="1"/>
    <col min="8965" max="8966" width="12.7109375" style="1" customWidth="1"/>
    <col min="8967" max="8967" width="11.85546875" style="1" customWidth="1"/>
    <col min="8968" max="8968" width="15.140625" style="1" customWidth="1"/>
    <col min="8969" max="8969" width="49" style="1" customWidth="1"/>
    <col min="8970" max="9216" width="9.140625" style="1"/>
    <col min="9217" max="9217" width="6.28515625" style="1" customWidth="1"/>
    <col min="9218" max="9218" width="34.42578125" style="1" customWidth="1"/>
    <col min="9219" max="9219" width="9.140625" style="1"/>
    <col min="9220" max="9220" width="10.28515625" style="1" customWidth="1"/>
    <col min="9221" max="9222" width="12.7109375" style="1" customWidth="1"/>
    <col min="9223" max="9223" width="11.85546875" style="1" customWidth="1"/>
    <col min="9224" max="9224" width="15.140625" style="1" customWidth="1"/>
    <col min="9225" max="9225" width="49" style="1" customWidth="1"/>
    <col min="9226" max="9472" width="9.140625" style="1"/>
    <col min="9473" max="9473" width="6.28515625" style="1" customWidth="1"/>
    <col min="9474" max="9474" width="34.42578125" style="1" customWidth="1"/>
    <col min="9475" max="9475" width="9.140625" style="1"/>
    <col min="9476" max="9476" width="10.28515625" style="1" customWidth="1"/>
    <col min="9477" max="9478" width="12.7109375" style="1" customWidth="1"/>
    <col min="9479" max="9479" width="11.85546875" style="1" customWidth="1"/>
    <col min="9480" max="9480" width="15.140625" style="1" customWidth="1"/>
    <col min="9481" max="9481" width="49" style="1" customWidth="1"/>
    <col min="9482" max="9728" width="9.140625" style="1"/>
    <col min="9729" max="9729" width="6.28515625" style="1" customWidth="1"/>
    <col min="9730" max="9730" width="34.42578125" style="1" customWidth="1"/>
    <col min="9731" max="9731" width="9.140625" style="1"/>
    <col min="9732" max="9732" width="10.28515625" style="1" customWidth="1"/>
    <col min="9733" max="9734" width="12.7109375" style="1" customWidth="1"/>
    <col min="9735" max="9735" width="11.85546875" style="1" customWidth="1"/>
    <col min="9736" max="9736" width="15.140625" style="1" customWidth="1"/>
    <col min="9737" max="9737" width="49" style="1" customWidth="1"/>
    <col min="9738" max="9984" width="9.140625" style="1"/>
    <col min="9985" max="9985" width="6.28515625" style="1" customWidth="1"/>
    <col min="9986" max="9986" width="34.42578125" style="1" customWidth="1"/>
    <col min="9987" max="9987" width="9.140625" style="1"/>
    <col min="9988" max="9988" width="10.28515625" style="1" customWidth="1"/>
    <col min="9989" max="9990" width="12.7109375" style="1" customWidth="1"/>
    <col min="9991" max="9991" width="11.85546875" style="1" customWidth="1"/>
    <col min="9992" max="9992" width="15.140625" style="1" customWidth="1"/>
    <col min="9993" max="9993" width="49" style="1" customWidth="1"/>
    <col min="9994" max="10240" width="9.140625" style="1"/>
    <col min="10241" max="10241" width="6.28515625" style="1" customWidth="1"/>
    <col min="10242" max="10242" width="34.42578125" style="1" customWidth="1"/>
    <col min="10243" max="10243" width="9.140625" style="1"/>
    <col min="10244" max="10244" width="10.28515625" style="1" customWidth="1"/>
    <col min="10245" max="10246" width="12.7109375" style="1" customWidth="1"/>
    <col min="10247" max="10247" width="11.85546875" style="1" customWidth="1"/>
    <col min="10248" max="10248" width="15.140625" style="1" customWidth="1"/>
    <col min="10249" max="10249" width="49" style="1" customWidth="1"/>
    <col min="10250" max="10496" width="9.140625" style="1"/>
    <col min="10497" max="10497" width="6.28515625" style="1" customWidth="1"/>
    <col min="10498" max="10498" width="34.42578125" style="1" customWidth="1"/>
    <col min="10499" max="10499" width="9.140625" style="1"/>
    <col min="10500" max="10500" width="10.28515625" style="1" customWidth="1"/>
    <col min="10501" max="10502" width="12.7109375" style="1" customWidth="1"/>
    <col min="10503" max="10503" width="11.85546875" style="1" customWidth="1"/>
    <col min="10504" max="10504" width="15.140625" style="1" customWidth="1"/>
    <col min="10505" max="10505" width="49" style="1" customWidth="1"/>
    <col min="10506" max="10752" width="9.140625" style="1"/>
    <col min="10753" max="10753" width="6.28515625" style="1" customWidth="1"/>
    <col min="10754" max="10754" width="34.42578125" style="1" customWidth="1"/>
    <col min="10755" max="10755" width="9.140625" style="1"/>
    <col min="10756" max="10756" width="10.28515625" style="1" customWidth="1"/>
    <col min="10757" max="10758" width="12.7109375" style="1" customWidth="1"/>
    <col min="10759" max="10759" width="11.85546875" style="1" customWidth="1"/>
    <col min="10760" max="10760" width="15.140625" style="1" customWidth="1"/>
    <col min="10761" max="10761" width="49" style="1" customWidth="1"/>
    <col min="10762" max="11008" width="9.140625" style="1"/>
    <col min="11009" max="11009" width="6.28515625" style="1" customWidth="1"/>
    <col min="11010" max="11010" width="34.42578125" style="1" customWidth="1"/>
    <col min="11011" max="11011" width="9.140625" style="1"/>
    <col min="11012" max="11012" width="10.28515625" style="1" customWidth="1"/>
    <col min="11013" max="11014" width="12.7109375" style="1" customWidth="1"/>
    <col min="11015" max="11015" width="11.85546875" style="1" customWidth="1"/>
    <col min="11016" max="11016" width="15.140625" style="1" customWidth="1"/>
    <col min="11017" max="11017" width="49" style="1" customWidth="1"/>
    <col min="11018" max="11264" width="9.140625" style="1"/>
    <col min="11265" max="11265" width="6.28515625" style="1" customWidth="1"/>
    <col min="11266" max="11266" width="34.42578125" style="1" customWidth="1"/>
    <col min="11267" max="11267" width="9.140625" style="1"/>
    <col min="11268" max="11268" width="10.28515625" style="1" customWidth="1"/>
    <col min="11269" max="11270" width="12.7109375" style="1" customWidth="1"/>
    <col min="11271" max="11271" width="11.85546875" style="1" customWidth="1"/>
    <col min="11272" max="11272" width="15.140625" style="1" customWidth="1"/>
    <col min="11273" max="11273" width="49" style="1" customWidth="1"/>
    <col min="11274" max="11520" width="9.140625" style="1"/>
    <col min="11521" max="11521" width="6.28515625" style="1" customWidth="1"/>
    <col min="11522" max="11522" width="34.42578125" style="1" customWidth="1"/>
    <col min="11523" max="11523" width="9.140625" style="1"/>
    <col min="11524" max="11524" width="10.28515625" style="1" customWidth="1"/>
    <col min="11525" max="11526" width="12.7109375" style="1" customWidth="1"/>
    <col min="11527" max="11527" width="11.85546875" style="1" customWidth="1"/>
    <col min="11528" max="11528" width="15.140625" style="1" customWidth="1"/>
    <col min="11529" max="11529" width="49" style="1" customWidth="1"/>
    <col min="11530" max="11776" width="9.140625" style="1"/>
    <col min="11777" max="11777" width="6.28515625" style="1" customWidth="1"/>
    <col min="11778" max="11778" width="34.42578125" style="1" customWidth="1"/>
    <col min="11779" max="11779" width="9.140625" style="1"/>
    <col min="11780" max="11780" width="10.28515625" style="1" customWidth="1"/>
    <col min="11781" max="11782" width="12.7109375" style="1" customWidth="1"/>
    <col min="11783" max="11783" width="11.85546875" style="1" customWidth="1"/>
    <col min="11784" max="11784" width="15.140625" style="1" customWidth="1"/>
    <col min="11785" max="11785" width="49" style="1" customWidth="1"/>
    <col min="11786" max="12032" width="9.140625" style="1"/>
    <col min="12033" max="12033" width="6.28515625" style="1" customWidth="1"/>
    <col min="12034" max="12034" width="34.42578125" style="1" customWidth="1"/>
    <col min="12035" max="12035" width="9.140625" style="1"/>
    <col min="12036" max="12036" width="10.28515625" style="1" customWidth="1"/>
    <col min="12037" max="12038" width="12.7109375" style="1" customWidth="1"/>
    <col min="12039" max="12039" width="11.85546875" style="1" customWidth="1"/>
    <col min="12040" max="12040" width="15.140625" style="1" customWidth="1"/>
    <col min="12041" max="12041" width="49" style="1" customWidth="1"/>
    <col min="12042" max="12288" width="9.140625" style="1"/>
    <col min="12289" max="12289" width="6.28515625" style="1" customWidth="1"/>
    <col min="12290" max="12290" width="34.42578125" style="1" customWidth="1"/>
    <col min="12291" max="12291" width="9.140625" style="1"/>
    <col min="12292" max="12292" width="10.28515625" style="1" customWidth="1"/>
    <col min="12293" max="12294" width="12.7109375" style="1" customWidth="1"/>
    <col min="12295" max="12295" width="11.85546875" style="1" customWidth="1"/>
    <col min="12296" max="12296" width="15.140625" style="1" customWidth="1"/>
    <col min="12297" max="12297" width="49" style="1" customWidth="1"/>
    <col min="12298" max="12544" width="9.140625" style="1"/>
    <col min="12545" max="12545" width="6.28515625" style="1" customWidth="1"/>
    <col min="12546" max="12546" width="34.42578125" style="1" customWidth="1"/>
    <col min="12547" max="12547" width="9.140625" style="1"/>
    <col min="12548" max="12548" width="10.28515625" style="1" customWidth="1"/>
    <col min="12549" max="12550" width="12.7109375" style="1" customWidth="1"/>
    <col min="12551" max="12551" width="11.85546875" style="1" customWidth="1"/>
    <col min="12552" max="12552" width="15.140625" style="1" customWidth="1"/>
    <col min="12553" max="12553" width="49" style="1" customWidth="1"/>
    <col min="12554" max="12800" width="9.140625" style="1"/>
    <col min="12801" max="12801" width="6.28515625" style="1" customWidth="1"/>
    <col min="12802" max="12802" width="34.42578125" style="1" customWidth="1"/>
    <col min="12803" max="12803" width="9.140625" style="1"/>
    <col min="12804" max="12804" width="10.28515625" style="1" customWidth="1"/>
    <col min="12805" max="12806" width="12.7109375" style="1" customWidth="1"/>
    <col min="12807" max="12807" width="11.85546875" style="1" customWidth="1"/>
    <col min="12808" max="12808" width="15.140625" style="1" customWidth="1"/>
    <col min="12809" max="12809" width="49" style="1" customWidth="1"/>
    <col min="12810" max="13056" width="9.140625" style="1"/>
    <col min="13057" max="13057" width="6.28515625" style="1" customWidth="1"/>
    <col min="13058" max="13058" width="34.42578125" style="1" customWidth="1"/>
    <col min="13059" max="13059" width="9.140625" style="1"/>
    <col min="13060" max="13060" width="10.28515625" style="1" customWidth="1"/>
    <col min="13061" max="13062" width="12.7109375" style="1" customWidth="1"/>
    <col min="13063" max="13063" width="11.85546875" style="1" customWidth="1"/>
    <col min="13064" max="13064" width="15.140625" style="1" customWidth="1"/>
    <col min="13065" max="13065" width="49" style="1" customWidth="1"/>
    <col min="13066" max="13312" width="9.140625" style="1"/>
    <col min="13313" max="13313" width="6.28515625" style="1" customWidth="1"/>
    <col min="13314" max="13314" width="34.42578125" style="1" customWidth="1"/>
    <col min="13315" max="13315" width="9.140625" style="1"/>
    <col min="13316" max="13316" width="10.28515625" style="1" customWidth="1"/>
    <col min="13317" max="13318" width="12.7109375" style="1" customWidth="1"/>
    <col min="13319" max="13319" width="11.85546875" style="1" customWidth="1"/>
    <col min="13320" max="13320" width="15.140625" style="1" customWidth="1"/>
    <col min="13321" max="13321" width="49" style="1" customWidth="1"/>
    <col min="13322" max="13568" width="9.140625" style="1"/>
    <col min="13569" max="13569" width="6.28515625" style="1" customWidth="1"/>
    <col min="13570" max="13570" width="34.42578125" style="1" customWidth="1"/>
    <col min="13571" max="13571" width="9.140625" style="1"/>
    <col min="13572" max="13572" width="10.28515625" style="1" customWidth="1"/>
    <col min="13573" max="13574" width="12.7109375" style="1" customWidth="1"/>
    <col min="13575" max="13575" width="11.85546875" style="1" customWidth="1"/>
    <col min="13576" max="13576" width="15.140625" style="1" customWidth="1"/>
    <col min="13577" max="13577" width="49" style="1" customWidth="1"/>
    <col min="13578" max="13824" width="9.140625" style="1"/>
    <col min="13825" max="13825" width="6.28515625" style="1" customWidth="1"/>
    <col min="13826" max="13826" width="34.42578125" style="1" customWidth="1"/>
    <col min="13827" max="13827" width="9.140625" style="1"/>
    <col min="13828" max="13828" width="10.28515625" style="1" customWidth="1"/>
    <col min="13829" max="13830" width="12.7109375" style="1" customWidth="1"/>
    <col min="13831" max="13831" width="11.85546875" style="1" customWidth="1"/>
    <col min="13832" max="13832" width="15.140625" style="1" customWidth="1"/>
    <col min="13833" max="13833" width="49" style="1" customWidth="1"/>
    <col min="13834" max="14080" width="9.140625" style="1"/>
    <col min="14081" max="14081" width="6.28515625" style="1" customWidth="1"/>
    <col min="14082" max="14082" width="34.42578125" style="1" customWidth="1"/>
    <col min="14083" max="14083" width="9.140625" style="1"/>
    <col min="14084" max="14084" width="10.28515625" style="1" customWidth="1"/>
    <col min="14085" max="14086" width="12.7109375" style="1" customWidth="1"/>
    <col min="14087" max="14087" width="11.85546875" style="1" customWidth="1"/>
    <col min="14088" max="14088" width="15.140625" style="1" customWidth="1"/>
    <col min="14089" max="14089" width="49" style="1" customWidth="1"/>
    <col min="14090" max="14336" width="9.140625" style="1"/>
    <col min="14337" max="14337" width="6.28515625" style="1" customWidth="1"/>
    <col min="14338" max="14338" width="34.42578125" style="1" customWidth="1"/>
    <col min="14339" max="14339" width="9.140625" style="1"/>
    <col min="14340" max="14340" width="10.28515625" style="1" customWidth="1"/>
    <col min="14341" max="14342" width="12.7109375" style="1" customWidth="1"/>
    <col min="14343" max="14343" width="11.85546875" style="1" customWidth="1"/>
    <col min="14344" max="14344" width="15.140625" style="1" customWidth="1"/>
    <col min="14345" max="14345" width="49" style="1" customWidth="1"/>
    <col min="14346" max="14592" width="9.140625" style="1"/>
    <col min="14593" max="14593" width="6.28515625" style="1" customWidth="1"/>
    <col min="14594" max="14594" width="34.42578125" style="1" customWidth="1"/>
    <col min="14595" max="14595" width="9.140625" style="1"/>
    <col min="14596" max="14596" width="10.28515625" style="1" customWidth="1"/>
    <col min="14597" max="14598" width="12.7109375" style="1" customWidth="1"/>
    <col min="14599" max="14599" width="11.85546875" style="1" customWidth="1"/>
    <col min="14600" max="14600" width="15.140625" style="1" customWidth="1"/>
    <col min="14601" max="14601" width="49" style="1" customWidth="1"/>
    <col min="14602" max="14848" width="9.140625" style="1"/>
    <col min="14849" max="14849" width="6.28515625" style="1" customWidth="1"/>
    <col min="14850" max="14850" width="34.42578125" style="1" customWidth="1"/>
    <col min="14851" max="14851" width="9.140625" style="1"/>
    <col min="14852" max="14852" width="10.28515625" style="1" customWidth="1"/>
    <col min="14853" max="14854" width="12.7109375" style="1" customWidth="1"/>
    <col min="14855" max="14855" width="11.85546875" style="1" customWidth="1"/>
    <col min="14856" max="14856" width="15.140625" style="1" customWidth="1"/>
    <col min="14857" max="14857" width="49" style="1" customWidth="1"/>
    <col min="14858" max="15104" width="9.140625" style="1"/>
    <col min="15105" max="15105" width="6.28515625" style="1" customWidth="1"/>
    <col min="15106" max="15106" width="34.42578125" style="1" customWidth="1"/>
    <col min="15107" max="15107" width="9.140625" style="1"/>
    <col min="15108" max="15108" width="10.28515625" style="1" customWidth="1"/>
    <col min="15109" max="15110" width="12.7109375" style="1" customWidth="1"/>
    <col min="15111" max="15111" width="11.85546875" style="1" customWidth="1"/>
    <col min="15112" max="15112" width="15.140625" style="1" customWidth="1"/>
    <col min="15113" max="15113" width="49" style="1" customWidth="1"/>
    <col min="15114" max="15360" width="9.140625" style="1"/>
    <col min="15361" max="15361" width="6.28515625" style="1" customWidth="1"/>
    <col min="15362" max="15362" width="34.42578125" style="1" customWidth="1"/>
    <col min="15363" max="15363" width="9.140625" style="1"/>
    <col min="15364" max="15364" width="10.28515625" style="1" customWidth="1"/>
    <col min="15365" max="15366" width="12.7109375" style="1" customWidth="1"/>
    <col min="15367" max="15367" width="11.85546875" style="1" customWidth="1"/>
    <col min="15368" max="15368" width="15.140625" style="1" customWidth="1"/>
    <col min="15369" max="15369" width="49" style="1" customWidth="1"/>
    <col min="15370" max="15616" width="9.140625" style="1"/>
    <col min="15617" max="15617" width="6.28515625" style="1" customWidth="1"/>
    <col min="15618" max="15618" width="34.42578125" style="1" customWidth="1"/>
    <col min="15619" max="15619" width="9.140625" style="1"/>
    <col min="15620" max="15620" width="10.28515625" style="1" customWidth="1"/>
    <col min="15621" max="15622" width="12.7109375" style="1" customWidth="1"/>
    <col min="15623" max="15623" width="11.85546875" style="1" customWidth="1"/>
    <col min="15624" max="15624" width="15.140625" style="1" customWidth="1"/>
    <col min="15625" max="15625" width="49" style="1" customWidth="1"/>
    <col min="15626" max="15872" width="9.140625" style="1"/>
    <col min="15873" max="15873" width="6.28515625" style="1" customWidth="1"/>
    <col min="15874" max="15874" width="34.42578125" style="1" customWidth="1"/>
    <col min="15875" max="15875" width="9.140625" style="1"/>
    <col min="15876" max="15876" width="10.28515625" style="1" customWidth="1"/>
    <col min="15877" max="15878" width="12.7109375" style="1" customWidth="1"/>
    <col min="15879" max="15879" width="11.85546875" style="1" customWidth="1"/>
    <col min="15880" max="15880" width="15.140625" style="1" customWidth="1"/>
    <col min="15881" max="15881" width="49" style="1" customWidth="1"/>
    <col min="15882" max="16128" width="9.140625" style="1"/>
    <col min="16129" max="16129" width="6.28515625" style="1" customWidth="1"/>
    <col min="16130" max="16130" width="34.42578125" style="1" customWidth="1"/>
    <col min="16131" max="16131" width="9.140625" style="1"/>
    <col min="16132" max="16132" width="10.28515625" style="1" customWidth="1"/>
    <col min="16133" max="16134" width="12.7109375" style="1" customWidth="1"/>
    <col min="16135" max="16135" width="11.85546875" style="1" customWidth="1"/>
    <col min="16136" max="16136" width="15.140625" style="1" customWidth="1"/>
    <col min="16137" max="16137" width="49" style="1" customWidth="1"/>
    <col min="16138" max="16384" width="9.140625" style="1"/>
  </cols>
  <sheetData>
    <row r="1" spans="1:14" ht="55.5" customHeight="1">
      <c r="A1" s="1580"/>
      <c r="B1" s="1580"/>
      <c r="C1" s="1617"/>
      <c r="D1" s="8"/>
      <c r="E1" s="8"/>
      <c r="F1" s="8"/>
      <c r="G1" s="8"/>
      <c r="H1" s="8"/>
      <c r="I1" s="255" t="s">
        <v>1062</v>
      </c>
    </row>
    <row r="2" spans="1:14" ht="38.25" customHeight="1">
      <c r="A2" s="1618" t="s">
        <v>96</v>
      </c>
      <c r="B2" s="1618"/>
      <c r="C2" s="1618"/>
      <c r="D2" s="1618"/>
      <c r="E2" s="1618"/>
      <c r="F2" s="1618"/>
      <c r="G2" s="1618"/>
      <c r="H2" s="1618"/>
      <c r="I2" s="1618"/>
    </row>
    <row r="3" spans="1:14" ht="36.75" customHeight="1" thickBot="1">
      <c r="A3" s="62"/>
      <c r="B3" s="62"/>
      <c r="C3" s="62"/>
      <c r="D3" s="62"/>
      <c r="E3" s="62"/>
      <c r="F3" s="62"/>
      <c r="G3" s="62"/>
      <c r="H3" s="62"/>
      <c r="I3" s="84" t="s">
        <v>95</v>
      </c>
    </row>
    <row r="4" spans="1:14" ht="21" customHeight="1" thickBot="1">
      <c r="A4" s="1619" t="s">
        <v>39</v>
      </c>
      <c r="B4" s="1563" t="s">
        <v>59</v>
      </c>
      <c r="C4" s="1619" t="s">
        <v>0</v>
      </c>
      <c r="D4" s="1563" t="s">
        <v>1</v>
      </c>
      <c r="E4" s="1620" t="s">
        <v>46</v>
      </c>
      <c r="F4" s="1620" t="s">
        <v>8</v>
      </c>
      <c r="G4" s="1621" t="s">
        <v>94</v>
      </c>
      <c r="H4" s="1120"/>
      <c r="I4" s="1622" t="s">
        <v>47</v>
      </c>
    </row>
    <row r="5" spans="1:14" ht="15" customHeight="1" thickBot="1">
      <c r="A5" s="1619"/>
      <c r="B5" s="1563"/>
      <c r="C5" s="1619"/>
      <c r="D5" s="1563"/>
      <c r="E5" s="1619"/>
      <c r="F5" s="1620"/>
      <c r="G5" s="1621" t="s">
        <v>44</v>
      </c>
      <c r="H5" s="1120" t="s">
        <v>43</v>
      </c>
      <c r="I5" s="1622"/>
    </row>
    <row r="6" spans="1:14" ht="28.5" customHeight="1" thickBot="1">
      <c r="A6" s="1619"/>
      <c r="B6" s="1563"/>
      <c r="C6" s="1619"/>
      <c r="D6" s="1563"/>
      <c r="E6" s="1619"/>
      <c r="F6" s="1620"/>
      <c r="G6" s="1621"/>
      <c r="H6" s="1120"/>
      <c r="I6" s="1622"/>
    </row>
    <row r="7" spans="1:14" ht="46.5" customHeight="1">
      <c r="A7" s="1625">
        <v>1</v>
      </c>
      <c r="B7" s="1634" t="s">
        <v>93</v>
      </c>
      <c r="C7" s="1637" t="s">
        <v>5</v>
      </c>
      <c r="D7" s="1637" t="s">
        <v>10</v>
      </c>
      <c r="E7" s="1628">
        <f>SUM(G7:H10)</f>
        <v>6320000</v>
      </c>
      <c r="F7" s="78">
        <v>2310</v>
      </c>
      <c r="G7" s="77">
        <v>2420000</v>
      </c>
      <c r="H7" s="77"/>
      <c r="I7" s="302" t="s">
        <v>189</v>
      </c>
    </row>
    <row r="8" spans="1:14" ht="52.5" customHeight="1">
      <c r="A8" s="1626"/>
      <c r="B8" s="1635"/>
      <c r="C8" s="1638"/>
      <c r="D8" s="1638"/>
      <c r="E8" s="1629"/>
      <c r="F8" s="76">
        <v>2320</v>
      </c>
      <c r="G8" s="12">
        <v>50000</v>
      </c>
      <c r="H8" s="12"/>
      <c r="I8" s="303" t="s">
        <v>900</v>
      </c>
    </row>
    <row r="9" spans="1:14" ht="37.5" customHeight="1">
      <c r="A9" s="1626"/>
      <c r="B9" s="1636"/>
      <c r="C9" s="1638"/>
      <c r="D9" s="1638"/>
      <c r="E9" s="1629"/>
      <c r="F9" s="83">
        <v>6610</v>
      </c>
      <c r="G9" s="82"/>
      <c r="H9" s="82">
        <v>3800000</v>
      </c>
      <c r="I9" s="304" t="s">
        <v>190</v>
      </c>
    </row>
    <row r="10" spans="1:14" ht="51" customHeight="1" thickBot="1">
      <c r="A10" s="1627"/>
      <c r="B10" s="81"/>
      <c r="C10" s="1639"/>
      <c r="D10" s="1639"/>
      <c r="E10" s="1630"/>
      <c r="F10" s="75">
        <v>6620</v>
      </c>
      <c r="G10" s="74"/>
      <c r="H10" s="74">
        <v>50000</v>
      </c>
      <c r="I10" s="305" t="s">
        <v>901</v>
      </c>
    </row>
    <row r="11" spans="1:14" ht="44.25" customHeight="1">
      <c r="A11" s="80">
        <v>2</v>
      </c>
      <c r="B11" s="917" t="s">
        <v>916</v>
      </c>
      <c r="C11" s="1631" t="s">
        <v>12</v>
      </c>
      <c r="D11" s="253" t="s">
        <v>13</v>
      </c>
      <c r="E11" s="79">
        <f>SUM(G11:H11)</f>
        <v>400000</v>
      </c>
      <c r="F11" s="78">
        <v>6170</v>
      </c>
      <c r="G11" s="77"/>
      <c r="H11" s="77">
        <v>400000</v>
      </c>
      <c r="I11" s="302" t="s">
        <v>1053</v>
      </c>
    </row>
    <row r="12" spans="1:14" ht="44.25" customHeight="1">
      <c r="A12" s="312">
        <v>3</v>
      </c>
      <c r="B12" s="313" t="s">
        <v>92</v>
      </c>
      <c r="C12" s="1632"/>
      <c r="D12" s="314" t="s">
        <v>14</v>
      </c>
      <c r="E12" s="315">
        <f>SUM(G12:H12)</f>
        <v>200000</v>
      </c>
      <c r="F12" s="316">
        <v>6170</v>
      </c>
      <c r="G12" s="317"/>
      <c r="H12" s="317">
        <v>200000</v>
      </c>
      <c r="I12" s="318" t="s">
        <v>1054</v>
      </c>
    </row>
    <row r="13" spans="1:14" ht="46.5" customHeight="1" thickBot="1">
      <c r="A13" s="319">
        <v>4</v>
      </c>
      <c r="B13" s="320" t="s">
        <v>91</v>
      </c>
      <c r="C13" s="1633"/>
      <c r="D13" s="321" t="s">
        <v>15</v>
      </c>
      <c r="E13" s="322">
        <f>SUM(G13:H13)</f>
        <v>400000</v>
      </c>
      <c r="F13" s="323">
        <v>6170</v>
      </c>
      <c r="G13" s="324"/>
      <c r="H13" s="324">
        <v>400000</v>
      </c>
      <c r="I13" s="325" t="s">
        <v>1055</v>
      </c>
    </row>
    <row r="14" spans="1:14" ht="81.75" customHeight="1">
      <c r="A14" s="246">
        <v>5</v>
      </c>
      <c r="B14" s="244" t="s">
        <v>161</v>
      </c>
      <c r="C14" s="1594">
        <v>851</v>
      </c>
      <c r="D14" s="1594">
        <v>85111</v>
      </c>
      <c r="E14" s="1596">
        <f>SUM(G14:H19)</f>
        <v>15045268</v>
      </c>
      <c r="F14" s="72">
        <v>6220</v>
      </c>
      <c r="G14" s="1096"/>
      <c r="H14" s="1096">
        <v>2946300</v>
      </c>
      <c r="I14" s="70" t="s">
        <v>163</v>
      </c>
      <c r="J14" s="2"/>
      <c r="K14" s="1595"/>
      <c r="L14" s="1595"/>
      <c r="M14" s="1595"/>
      <c r="N14" s="1595"/>
    </row>
    <row r="15" spans="1:14" ht="131.25" customHeight="1">
      <c r="A15" s="1095">
        <v>6</v>
      </c>
      <c r="B15" s="1097" t="s">
        <v>66</v>
      </c>
      <c r="C15" s="1600"/>
      <c r="D15" s="1600"/>
      <c r="E15" s="1597"/>
      <c r="F15" s="1098">
        <v>6220</v>
      </c>
      <c r="G15" s="921"/>
      <c r="H15" s="921">
        <v>6287245</v>
      </c>
      <c r="I15" s="1099" t="s">
        <v>162</v>
      </c>
      <c r="J15" s="2"/>
      <c r="K15" s="1595"/>
      <c r="L15" s="1595"/>
      <c r="M15" s="1595"/>
      <c r="N15" s="1595"/>
    </row>
    <row r="16" spans="1:14" ht="84" customHeight="1">
      <c r="A16" s="1100">
        <v>7</v>
      </c>
      <c r="B16" s="1101" t="s">
        <v>917</v>
      </c>
      <c r="C16" s="1600"/>
      <c r="D16" s="1600"/>
      <c r="E16" s="1597"/>
      <c r="F16" s="1102">
        <v>6220</v>
      </c>
      <c r="G16" s="1103"/>
      <c r="H16" s="1104">
        <v>3000000</v>
      </c>
      <c r="I16" s="1105" t="s">
        <v>165</v>
      </c>
      <c r="K16" s="1595"/>
      <c r="L16" s="1595"/>
      <c r="M16" s="1595"/>
      <c r="N16" s="1595"/>
    </row>
    <row r="17" spans="1:14" ht="80.25" customHeight="1">
      <c r="A17" s="1095">
        <v>8</v>
      </c>
      <c r="B17" s="1106" t="s">
        <v>918</v>
      </c>
      <c r="C17" s="1600"/>
      <c r="D17" s="1600"/>
      <c r="E17" s="1597"/>
      <c r="F17" s="1102">
        <v>6220</v>
      </c>
      <c r="G17" s="1104"/>
      <c r="H17" s="1104">
        <v>335500</v>
      </c>
      <c r="I17" s="1105" t="s">
        <v>164</v>
      </c>
      <c r="K17" s="1595"/>
      <c r="L17" s="1595"/>
      <c r="M17" s="1595"/>
      <c r="N17" s="1595"/>
    </row>
    <row r="18" spans="1:14" ht="51" customHeight="1">
      <c r="A18" s="1100">
        <v>9</v>
      </c>
      <c r="B18" s="1106" t="s">
        <v>913</v>
      </c>
      <c r="C18" s="1600"/>
      <c r="D18" s="1600"/>
      <c r="E18" s="1597"/>
      <c r="F18" s="1102">
        <v>6220</v>
      </c>
      <c r="G18" s="1104"/>
      <c r="H18" s="1104">
        <v>2279223</v>
      </c>
      <c r="I18" s="1105" t="s">
        <v>166</v>
      </c>
      <c r="K18" s="1595"/>
      <c r="L18" s="1595"/>
      <c r="M18" s="1595"/>
      <c r="N18" s="1595"/>
    </row>
    <row r="19" spans="1:14" ht="38.25">
      <c r="A19" s="1100">
        <v>10</v>
      </c>
      <c r="B19" s="1106" t="s">
        <v>90</v>
      </c>
      <c r="C19" s="1600"/>
      <c r="D19" s="1600"/>
      <c r="E19" s="1597"/>
      <c r="F19" s="1102">
        <v>6220</v>
      </c>
      <c r="G19" s="1104"/>
      <c r="H19" s="1104">
        <v>197000</v>
      </c>
      <c r="I19" s="1105" t="s">
        <v>167</v>
      </c>
      <c r="K19" s="1595"/>
      <c r="L19" s="1595"/>
      <c r="M19" s="1595"/>
      <c r="N19" s="1595"/>
    </row>
    <row r="20" spans="1:14" ht="42" customHeight="1">
      <c r="A20" s="1100">
        <v>11</v>
      </c>
      <c r="B20" s="1107" t="s">
        <v>168</v>
      </c>
      <c r="C20" s="1600"/>
      <c r="D20" s="1601">
        <v>85120</v>
      </c>
      <c r="E20" s="1598">
        <f>SUM(G20:H21)</f>
        <v>3613832</v>
      </c>
      <c r="F20" s="1102">
        <v>6220</v>
      </c>
      <c r="G20" s="1104"/>
      <c r="H20" s="1104">
        <v>1313832</v>
      </c>
      <c r="I20" s="1105" t="s">
        <v>195</v>
      </c>
      <c r="K20" s="1595"/>
      <c r="L20" s="1595"/>
      <c r="M20" s="1595"/>
      <c r="N20" s="1595"/>
    </row>
    <row r="21" spans="1:14" ht="42" customHeight="1">
      <c r="A21" s="1100">
        <v>12</v>
      </c>
      <c r="B21" s="1106" t="s">
        <v>89</v>
      </c>
      <c r="C21" s="1600"/>
      <c r="D21" s="1602"/>
      <c r="E21" s="1599"/>
      <c r="F21" s="1102">
        <v>6220</v>
      </c>
      <c r="G21" s="1104"/>
      <c r="H21" s="1104">
        <v>2300000</v>
      </c>
      <c r="I21" s="1105" t="s">
        <v>194</v>
      </c>
      <c r="J21" s="2"/>
      <c r="K21" s="1595"/>
      <c r="L21" s="1595"/>
      <c r="M21" s="1595"/>
      <c r="N21" s="1595"/>
    </row>
    <row r="22" spans="1:14" ht="79.5" customHeight="1" thickBot="1">
      <c r="A22" s="1108">
        <v>13</v>
      </c>
      <c r="B22" s="1109" t="s">
        <v>914</v>
      </c>
      <c r="C22" s="1593"/>
      <c r="D22" s="1110">
        <v>85121</v>
      </c>
      <c r="E22" s="1111">
        <f t="shared" ref="E22:E30" si="0">SUM(G22:H22)</f>
        <v>556676</v>
      </c>
      <c r="F22" s="1112">
        <v>6220</v>
      </c>
      <c r="G22" s="1113"/>
      <c r="H22" s="1113">
        <v>556676</v>
      </c>
      <c r="I22" s="1114" t="s">
        <v>199</v>
      </c>
      <c r="K22" s="1595"/>
      <c r="L22" s="1595"/>
      <c r="M22" s="1595"/>
      <c r="N22" s="1595"/>
    </row>
    <row r="23" spans="1:14" ht="43.5" customHeight="1">
      <c r="A23" s="246">
        <v>14</v>
      </c>
      <c r="B23" s="244" t="s">
        <v>915</v>
      </c>
      <c r="C23" s="1594">
        <v>921</v>
      </c>
      <c r="D23" s="248">
        <v>92106</v>
      </c>
      <c r="E23" s="73">
        <f t="shared" si="0"/>
        <v>100000</v>
      </c>
      <c r="F23" s="72">
        <v>2800</v>
      </c>
      <c r="G23" s="71">
        <v>100000</v>
      </c>
      <c r="H23" s="71"/>
      <c r="I23" s="70" t="s">
        <v>169</v>
      </c>
      <c r="K23" s="1595"/>
      <c r="L23" s="1595"/>
      <c r="M23" s="1595"/>
      <c r="N23" s="1595"/>
    </row>
    <row r="24" spans="1:14" ht="93" customHeight="1">
      <c r="A24" s="247">
        <v>15</v>
      </c>
      <c r="B24" s="245" t="s">
        <v>88</v>
      </c>
      <c r="C24" s="1592"/>
      <c r="D24" s="243">
        <v>92108</v>
      </c>
      <c r="E24" s="237">
        <f t="shared" si="0"/>
        <v>770000</v>
      </c>
      <c r="F24" s="238">
        <v>2800</v>
      </c>
      <c r="G24" s="239">
        <v>770000</v>
      </c>
      <c r="H24" s="239"/>
      <c r="I24" s="240" t="s">
        <v>170</v>
      </c>
      <c r="K24" s="1595"/>
      <c r="L24" s="1595"/>
      <c r="M24" s="1595"/>
      <c r="N24" s="1595"/>
    </row>
    <row r="25" spans="1:14" ht="51">
      <c r="A25" s="1613">
        <v>16</v>
      </c>
      <c r="B25" s="1615" t="s">
        <v>87</v>
      </c>
      <c r="C25" s="1592"/>
      <c r="D25" s="1623">
        <v>92109</v>
      </c>
      <c r="E25" s="1610">
        <f>SUM(G25:H28)</f>
        <v>321000</v>
      </c>
      <c r="F25" s="238">
        <v>2800</v>
      </c>
      <c r="G25" s="239">
        <v>100000</v>
      </c>
      <c r="H25" s="239"/>
      <c r="I25" s="240" t="s">
        <v>171</v>
      </c>
      <c r="K25" s="1595"/>
      <c r="L25" s="1595"/>
      <c r="M25" s="1595"/>
      <c r="N25" s="1595"/>
    </row>
    <row r="26" spans="1:14" ht="25.5">
      <c r="A26" s="1614"/>
      <c r="B26" s="1616"/>
      <c r="C26" s="1592"/>
      <c r="D26" s="1592"/>
      <c r="E26" s="1611"/>
      <c r="F26" s="275">
        <v>6220</v>
      </c>
      <c r="G26" s="276"/>
      <c r="H26" s="276">
        <v>30000</v>
      </c>
      <c r="I26" s="277" t="s">
        <v>197</v>
      </c>
      <c r="K26" s="1595"/>
      <c r="L26" s="1595"/>
      <c r="M26" s="1595"/>
      <c r="N26" s="1595"/>
    </row>
    <row r="27" spans="1:14" ht="89.25">
      <c r="A27" s="1605">
        <v>17</v>
      </c>
      <c r="B27" s="1603" t="s">
        <v>74</v>
      </c>
      <c r="C27" s="1592"/>
      <c r="D27" s="1592"/>
      <c r="E27" s="1611"/>
      <c r="F27" s="229">
        <v>2800</v>
      </c>
      <c r="G27" s="230">
        <v>116000</v>
      </c>
      <c r="H27" s="230"/>
      <c r="I27" s="241" t="s">
        <v>172</v>
      </c>
      <c r="K27" s="1595"/>
      <c r="L27" s="1595"/>
      <c r="M27" s="1595"/>
      <c r="N27" s="1595"/>
    </row>
    <row r="28" spans="1:14" ht="38.25">
      <c r="A28" s="1606"/>
      <c r="B28" s="1604"/>
      <c r="C28" s="1592"/>
      <c r="D28" s="1624"/>
      <c r="E28" s="1612"/>
      <c r="F28" s="281">
        <v>6220</v>
      </c>
      <c r="G28" s="282"/>
      <c r="H28" s="282">
        <v>75000</v>
      </c>
      <c r="I28" s="283" t="s">
        <v>198</v>
      </c>
      <c r="K28" s="1595"/>
      <c r="L28" s="1595"/>
      <c r="M28" s="1595"/>
      <c r="N28" s="1595"/>
    </row>
    <row r="29" spans="1:14" ht="38.25">
      <c r="A29" s="278">
        <v>18</v>
      </c>
      <c r="B29" s="279" t="s">
        <v>919</v>
      </c>
      <c r="C29" s="1592"/>
      <c r="D29" s="280">
        <v>92110</v>
      </c>
      <c r="E29" s="228">
        <f t="shared" si="0"/>
        <v>50000</v>
      </c>
      <c r="F29" s="281">
        <v>2800</v>
      </c>
      <c r="G29" s="282">
        <v>50000</v>
      </c>
      <c r="H29" s="282"/>
      <c r="I29" s="283" t="s">
        <v>173</v>
      </c>
      <c r="K29" s="1595"/>
      <c r="L29" s="1595"/>
      <c r="M29" s="1595"/>
      <c r="N29" s="1595"/>
    </row>
    <row r="30" spans="1:14" ht="51">
      <c r="A30" s="249">
        <v>19</v>
      </c>
      <c r="B30" s="250" t="s">
        <v>86</v>
      </c>
      <c r="C30" s="1592"/>
      <c r="D30" s="243">
        <v>92116</v>
      </c>
      <c r="E30" s="228">
        <f t="shared" si="0"/>
        <v>102000</v>
      </c>
      <c r="F30" s="229">
        <v>2800</v>
      </c>
      <c r="G30" s="230">
        <v>102000</v>
      </c>
      <c r="H30" s="230"/>
      <c r="I30" s="231" t="s">
        <v>174</v>
      </c>
      <c r="K30" s="1595"/>
      <c r="L30" s="1595"/>
      <c r="M30" s="1595"/>
      <c r="N30" s="1595"/>
    </row>
    <row r="31" spans="1:14" ht="89.25">
      <c r="A31" s="1605">
        <v>20</v>
      </c>
      <c r="B31" s="1603" t="s">
        <v>85</v>
      </c>
      <c r="C31" s="1592"/>
      <c r="D31" s="1591">
        <v>92118</v>
      </c>
      <c r="E31" s="1607">
        <f>SUM(G31:H38)</f>
        <v>9159491</v>
      </c>
      <c r="F31" s="229">
        <v>2800</v>
      </c>
      <c r="G31" s="230">
        <v>2353491</v>
      </c>
      <c r="H31" s="230"/>
      <c r="I31" s="231" t="s">
        <v>200</v>
      </c>
      <c r="K31" s="1595"/>
      <c r="L31" s="1595"/>
      <c r="M31" s="1595"/>
      <c r="N31" s="1595"/>
    </row>
    <row r="32" spans="1:14" ht="102">
      <c r="A32" s="1606"/>
      <c r="B32" s="1604"/>
      <c r="C32" s="1592"/>
      <c r="D32" s="1592"/>
      <c r="E32" s="1608"/>
      <c r="F32" s="281">
        <v>6220</v>
      </c>
      <c r="G32" s="282"/>
      <c r="H32" s="282">
        <v>5530000</v>
      </c>
      <c r="I32" s="284" t="s">
        <v>193</v>
      </c>
      <c r="K32" s="1595"/>
      <c r="L32" s="1595"/>
      <c r="M32" s="1595"/>
      <c r="N32" s="1595"/>
    </row>
    <row r="33" spans="1:14" ht="51">
      <c r="A33" s="286">
        <v>21</v>
      </c>
      <c r="B33" s="288" t="s">
        <v>175</v>
      </c>
      <c r="C33" s="1592"/>
      <c r="D33" s="1592"/>
      <c r="E33" s="1608"/>
      <c r="F33" s="281">
        <v>6220</v>
      </c>
      <c r="G33" s="282"/>
      <c r="H33" s="282">
        <v>326000</v>
      </c>
      <c r="I33" s="284" t="s">
        <v>176</v>
      </c>
      <c r="K33" s="1595"/>
      <c r="L33" s="1595"/>
      <c r="M33" s="1595"/>
      <c r="N33" s="1595"/>
    </row>
    <row r="34" spans="1:14" ht="63.75">
      <c r="A34" s="249">
        <v>22</v>
      </c>
      <c r="B34" s="251" t="s">
        <v>81</v>
      </c>
      <c r="C34" s="1592">
        <v>921</v>
      </c>
      <c r="D34" s="1592"/>
      <c r="E34" s="1608"/>
      <c r="F34" s="229">
        <v>2800</v>
      </c>
      <c r="G34" s="230">
        <v>390000</v>
      </c>
      <c r="H34" s="230"/>
      <c r="I34" s="231" t="s">
        <v>177</v>
      </c>
      <c r="K34" s="1595"/>
      <c r="L34" s="1595"/>
      <c r="M34" s="1595"/>
      <c r="N34" s="1595"/>
    </row>
    <row r="35" spans="1:14" ht="76.5">
      <c r="A35" s="226">
        <v>23</v>
      </c>
      <c r="B35" s="227" t="s">
        <v>80</v>
      </c>
      <c r="C35" s="1592"/>
      <c r="D35" s="1592"/>
      <c r="E35" s="1608"/>
      <c r="F35" s="229">
        <v>6220</v>
      </c>
      <c r="G35" s="230"/>
      <c r="H35" s="230">
        <v>200000</v>
      </c>
      <c r="I35" s="231" t="s">
        <v>192</v>
      </c>
      <c r="K35" s="1595"/>
      <c r="L35" s="1595"/>
      <c r="M35" s="1595"/>
      <c r="N35" s="1595"/>
    </row>
    <row r="36" spans="1:14" ht="25.5">
      <c r="A36" s="285">
        <v>24</v>
      </c>
      <c r="B36" s="287" t="s">
        <v>79</v>
      </c>
      <c r="C36" s="1592"/>
      <c r="D36" s="1592"/>
      <c r="E36" s="1608"/>
      <c r="F36" s="289">
        <v>6220</v>
      </c>
      <c r="G36" s="290"/>
      <c r="H36" s="290">
        <v>250000</v>
      </c>
      <c r="I36" s="291" t="s">
        <v>191</v>
      </c>
      <c r="K36" s="1595"/>
      <c r="L36" s="1595"/>
      <c r="M36" s="1595"/>
      <c r="N36" s="1595"/>
    </row>
    <row r="37" spans="1:14" ht="25.5">
      <c r="A37" s="285">
        <v>25</v>
      </c>
      <c r="B37" s="287" t="s">
        <v>920</v>
      </c>
      <c r="C37" s="1592"/>
      <c r="D37" s="1592"/>
      <c r="E37" s="1608"/>
      <c r="F37" s="289">
        <v>2800</v>
      </c>
      <c r="G37" s="290">
        <v>40000</v>
      </c>
      <c r="H37" s="290"/>
      <c r="I37" s="291" t="s">
        <v>201</v>
      </c>
      <c r="K37" s="1595"/>
      <c r="L37" s="1595"/>
      <c r="M37" s="1595"/>
      <c r="N37" s="1595"/>
    </row>
    <row r="38" spans="1:14" ht="108" customHeight="1" thickBot="1">
      <c r="A38" s="232">
        <v>26</v>
      </c>
      <c r="B38" s="233" t="s">
        <v>77</v>
      </c>
      <c r="C38" s="1593"/>
      <c r="D38" s="1593"/>
      <c r="E38" s="1609"/>
      <c r="F38" s="234">
        <v>2800</v>
      </c>
      <c r="G38" s="235">
        <v>70000</v>
      </c>
      <c r="H38" s="235"/>
      <c r="I38" s="236" t="s">
        <v>178</v>
      </c>
      <c r="K38" s="1595"/>
      <c r="L38" s="1595"/>
      <c r="M38" s="1595"/>
      <c r="N38" s="1595"/>
    </row>
    <row r="39" spans="1:14" ht="31.5" customHeight="1" thickBot="1">
      <c r="A39" s="1565" t="s">
        <v>46</v>
      </c>
      <c r="B39" s="1563"/>
      <c r="C39" s="1563"/>
      <c r="D39" s="1563"/>
      <c r="E39" s="67">
        <f>SUM(E7:E38)</f>
        <v>37038267</v>
      </c>
      <c r="F39" s="66"/>
      <c r="G39" s="65">
        <f>SUM(G7:G38)</f>
        <v>6561491</v>
      </c>
      <c r="H39" s="64">
        <f>SUM(H7:H38)</f>
        <v>30476776</v>
      </c>
      <c r="I39" s="63"/>
      <c r="K39" s="1595"/>
      <c r="L39" s="1595"/>
      <c r="M39" s="1595"/>
      <c r="N39" s="1595"/>
    </row>
    <row r="40" spans="1:14">
      <c r="G40" s="2"/>
      <c r="H40" s="2"/>
      <c r="K40" s="1595"/>
      <c r="L40" s="1595"/>
      <c r="M40" s="1595"/>
      <c r="N40" s="1595"/>
    </row>
    <row r="41" spans="1:14">
      <c r="E41" s="2"/>
      <c r="G41" s="2"/>
      <c r="H41" s="2"/>
      <c r="K41" s="1595"/>
      <c r="L41" s="1595"/>
      <c r="M41" s="1595"/>
      <c r="N41" s="1595"/>
    </row>
    <row r="42" spans="1:14">
      <c r="G42" s="2"/>
      <c r="K42" s="1595"/>
      <c r="L42" s="1595"/>
      <c r="M42" s="1595"/>
      <c r="N42" s="1595"/>
    </row>
    <row r="43" spans="1:14">
      <c r="G43" s="2"/>
      <c r="H43" s="2"/>
      <c r="K43" s="1595"/>
      <c r="L43" s="1595"/>
      <c r="M43" s="1595"/>
      <c r="N43" s="1595"/>
    </row>
    <row r="44" spans="1:14">
      <c r="K44" s="1595"/>
      <c r="L44" s="1595"/>
      <c r="M44" s="1595"/>
      <c r="N44" s="1595"/>
    </row>
    <row r="45" spans="1:14">
      <c r="G45" s="2"/>
      <c r="H45" s="2"/>
      <c r="K45" s="1595"/>
      <c r="L45" s="1595"/>
      <c r="M45" s="1595"/>
      <c r="N45" s="1595"/>
    </row>
    <row r="46" spans="1:14">
      <c r="G46" s="2"/>
      <c r="H46" s="2"/>
      <c r="K46" s="1595"/>
      <c r="L46" s="1595"/>
      <c r="M46" s="1595"/>
      <c r="N46" s="1595"/>
    </row>
    <row r="47" spans="1:14" ht="82.5" customHeight="1">
      <c r="G47" s="2"/>
      <c r="H47" s="2"/>
      <c r="K47" s="1595"/>
      <c r="L47" s="1595"/>
      <c r="M47" s="1595"/>
      <c r="N47" s="1595"/>
    </row>
    <row r="48" spans="1:14">
      <c r="H48" s="2"/>
    </row>
  </sheetData>
  <mergeCells count="37">
    <mergeCell ref="B27:B28"/>
    <mergeCell ref="D25:D28"/>
    <mergeCell ref="A7:A10"/>
    <mergeCell ref="C14:C22"/>
    <mergeCell ref="E7:E10"/>
    <mergeCell ref="C11:C13"/>
    <mergeCell ref="B7:B9"/>
    <mergeCell ref="D7:D10"/>
    <mergeCell ref="C7:C10"/>
    <mergeCell ref="A1:C1"/>
    <mergeCell ref="A2:I2"/>
    <mergeCell ref="A4:A6"/>
    <mergeCell ref="B4:B6"/>
    <mergeCell ref="C4:C6"/>
    <mergeCell ref="D4:D6"/>
    <mergeCell ref="E4:E6"/>
    <mergeCell ref="F4:F6"/>
    <mergeCell ref="G4:H4"/>
    <mergeCell ref="I4:I6"/>
    <mergeCell ref="G5:G6"/>
    <mergeCell ref="H5:H6"/>
    <mergeCell ref="D31:D38"/>
    <mergeCell ref="C23:C33"/>
    <mergeCell ref="C34:C38"/>
    <mergeCell ref="K14:N47"/>
    <mergeCell ref="A39:D39"/>
    <mergeCell ref="E14:E19"/>
    <mergeCell ref="E20:E21"/>
    <mergeCell ref="D14:D19"/>
    <mergeCell ref="D20:D21"/>
    <mergeCell ref="B31:B32"/>
    <mergeCell ref="A31:A32"/>
    <mergeCell ref="E31:E38"/>
    <mergeCell ref="E25:E28"/>
    <mergeCell ref="A25:A26"/>
    <mergeCell ref="B25:B26"/>
    <mergeCell ref="A27:A28"/>
  </mergeCells>
  <printOptions horizontalCentered="1"/>
  <pageMargins left="0.6692913385826772" right="0.62992125984251968" top="0.47244094488188981" bottom="0.27559055118110237" header="0.31496062992125984" footer="0.31"/>
  <pageSetup paperSize="9" scale="80" orientation="landscape" errors="blank" r:id="rId1"/>
  <headerFooter>
    <oddFooter>Strona &amp;P z &amp;N</oddFooter>
  </headerFooter>
  <rowBreaks count="2" manualBreakCount="2">
    <brk id="13" max="8" man="1"/>
    <brk id="22" max="8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G145"/>
  <sheetViews>
    <sheetView view="pageBreakPreview" zoomScaleSheetLayoutView="100" workbookViewId="0">
      <selection activeCell="G1" sqref="G1"/>
    </sheetView>
  </sheetViews>
  <sheetFormatPr defaultRowHeight="12.75"/>
  <cols>
    <col min="1" max="1" width="6.42578125" style="1" customWidth="1"/>
    <col min="2" max="2" width="7.7109375" style="1" customWidth="1"/>
    <col min="3" max="4" width="12.7109375" style="1" customWidth="1"/>
    <col min="5" max="6" width="17.7109375" style="1" customWidth="1"/>
    <col min="7" max="7" width="82.28515625" style="1" customWidth="1"/>
    <col min="8" max="258" width="9.140625" style="1"/>
    <col min="259" max="259" width="7.140625" style="1" customWidth="1"/>
    <col min="260" max="260" width="10.42578125" style="1" customWidth="1"/>
    <col min="261" max="261" width="12.85546875" style="1" customWidth="1"/>
    <col min="262" max="262" width="13.140625" style="1" customWidth="1"/>
    <col min="263" max="263" width="61" style="1" customWidth="1"/>
    <col min="264" max="514" width="9.140625" style="1"/>
    <col min="515" max="515" width="7.140625" style="1" customWidth="1"/>
    <col min="516" max="516" width="10.42578125" style="1" customWidth="1"/>
    <col min="517" max="517" width="12.85546875" style="1" customWidth="1"/>
    <col min="518" max="518" width="13.140625" style="1" customWidth="1"/>
    <col min="519" max="519" width="61" style="1" customWidth="1"/>
    <col min="520" max="770" width="9.140625" style="1"/>
    <col min="771" max="771" width="7.140625" style="1" customWidth="1"/>
    <col min="772" max="772" width="10.42578125" style="1" customWidth="1"/>
    <col min="773" max="773" width="12.85546875" style="1" customWidth="1"/>
    <col min="774" max="774" width="13.140625" style="1" customWidth="1"/>
    <col min="775" max="775" width="61" style="1" customWidth="1"/>
    <col min="776" max="1026" width="9.140625" style="1"/>
    <col min="1027" max="1027" width="7.140625" style="1" customWidth="1"/>
    <col min="1028" max="1028" width="10.42578125" style="1" customWidth="1"/>
    <col min="1029" max="1029" width="12.85546875" style="1" customWidth="1"/>
    <col min="1030" max="1030" width="13.140625" style="1" customWidth="1"/>
    <col min="1031" max="1031" width="61" style="1" customWidth="1"/>
    <col min="1032" max="1282" width="9.140625" style="1"/>
    <col min="1283" max="1283" width="7.140625" style="1" customWidth="1"/>
    <col min="1284" max="1284" width="10.42578125" style="1" customWidth="1"/>
    <col min="1285" max="1285" width="12.85546875" style="1" customWidth="1"/>
    <col min="1286" max="1286" width="13.140625" style="1" customWidth="1"/>
    <col min="1287" max="1287" width="61" style="1" customWidth="1"/>
    <col min="1288" max="1538" width="9.140625" style="1"/>
    <col min="1539" max="1539" width="7.140625" style="1" customWidth="1"/>
    <col min="1540" max="1540" width="10.42578125" style="1" customWidth="1"/>
    <col min="1541" max="1541" width="12.85546875" style="1" customWidth="1"/>
    <col min="1542" max="1542" width="13.140625" style="1" customWidth="1"/>
    <col min="1543" max="1543" width="61" style="1" customWidth="1"/>
    <col min="1544" max="1794" width="9.140625" style="1"/>
    <col min="1795" max="1795" width="7.140625" style="1" customWidth="1"/>
    <col min="1796" max="1796" width="10.42578125" style="1" customWidth="1"/>
    <col min="1797" max="1797" width="12.85546875" style="1" customWidth="1"/>
    <col min="1798" max="1798" width="13.140625" style="1" customWidth="1"/>
    <col min="1799" max="1799" width="61" style="1" customWidth="1"/>
    <col min="1800" max="2050" width="9.140625" style="1"/>
    <col min="2051" max="2051" width="7.140625" style="1" customWidth="1"/>
    <col min="2052" max="2052" width="10.42578125" style="1" customWidth="1"/>
    <col min="2053" max="2053" width="12.85546875" style="1" customWidth="1"/>
    <col min="2054" max="2054" width="13.140625" style="1" customWidth="1"/>
    <col min="2055" max="2055" width="61" style="1" customWidth="1"/>
    <col min="2056" max="2306" width="9.140625" style="1"/>
    <col min="2307" max="2307" width="7.140625" style="1" customWidth="1"/>
    <col min="2308" max="2308" width="10.42578125" style="1" customWidth="1"/>
    <col min="2309" max="2309" width="12.85546875" style="1" customWidth="1"/>
    <col min="2310" max="2310" width="13.140625" style="1" customWidth="1"/>
    <col min="2311" max="2311" width="61" style="1" customWidth="1"/>
    <col min="2312" max="2562" width="9.140625" style="1"/>
    <col min="2563" max="2563" width="7.140625" style="1" customWidth="1"/>
    <col min="2564" max="2564" width="10.42578125" style="1" customWidth="1"/>
    <col min="2565" max="2565" width="12.85546875" style="1" customWidth="1"/>
    <col min="2566" max="2566" width="13.140625" style="1" customWidth="1"/>
    <col min="2567" max="2567" width="61" style="1" customWidth="1"/>
    <col min="2568" max="2818" width="9.140625" style="1"/>
    <col min="2819" max="2819" width="7.140625" style="1" customWidth="1"/>
    <col min="2820" max="2820" width="10.42578125" style="1" customWidth="1"/>
    <col min="2821" max="2821" width="12.85546875" style="1" customWidth="1"/>
    <col min="2822" max="2822" width="13.140625" style="1" customWidth="1"/>
    <col min="2823" max="2823" width="61" style="1" customWidth="1"/>
    <col min="2824" max="3074" width="9.140625" style="1"/>
    <col min="3075" max="3075" width="7.140625" style="1" customWidth="1"/>
    <col min="3076" max="3076" width="10.42578125" style="1" customWidth="1"/>
    <col min="3077" max="3077" width="12.85546875" style="1" customWidth="1"/>
    <col min="3078" max="3078" width="13.140625" style="1" customWidth="1"/>
    <col min="3079" max="3079" width="61" style="1" customWidth="1"/>
    <col min="3080" max="3330" width="9.140625" style="1"/>
    <col min="3331" max="3331" width="7.140625" style="1" customWidth="1"/>
    <col min="3332" max="3332" width="10.42578125" style="1" customWidth="1"/>
    <col min="3333" max="3333" width="12.85546875" style="1" customWidth="1"/>
    <col min="3334" max="3334" width="13.140625" style="1" customWidth="1"/>
    <col min="3335" max="3335" width="61" style="1" customWidth="1"/>
    <col min="3336" max="3586" width="9.140625" style="1"/>
    <col min="3587" max="3587" width="7.140625" style="1" customWidth="1"/>
    <col min="3588" max="3588" width="10.42578125" style="1" customWidth="1"/>
    <col min="3589" max="3589" width="12.85546875" style="1" customWidth="1"/>
    <col min="3590" max="3590" width="13.140625" style="1" customWidth="1"/>
    <col min="3591" max="3591" width="61" style="1" customWidth="1"/>
    <col min="3592" max="3842" width="9.140625" style="1"/>
    <col min="3843" max="3843" width="7.140625" style="1" customWidth="1"/>
    <col min="3844" max="3844" width="10.42578125" style="1" customWidth="1"/>
    <col min="3845" max="3845" width="12.85546875" style="1" customWidth="1"/>
    <col min="3846" max="3846" width="13.140625" style="1" customWidth="1"/>
    <col min="3847" max="3847" width="61" style="1" customWidth="1"/>
    <col min="3848" max="4098" width="9.140625" style="1"/>
    <col min="4099" max="4099" width="7.140625" style="1" customWidth="1"/>
    <col min="4100" max="4100" width="10.42578125" style="1" customWidth="1"/>
    <col min="4101" max="4101" width="12.85546875" style="1" customWidth="1"/>
    <col min="4102" max="4102" width="13.140625" style="1" customWidth="1"/>
    <col min="4103" max="4103" width="61" style="1" customWidth="1"/>
    <col min="4104" max="4354" width="9.140625" style="1"/>
    <col min="4355" max="4355" width="7.140625" style="1" customWidth="1"/>
    <col min="4356" max="4356" width="10.42578125" style="1" customWidth="1"/>
    <col min="4357" max="4357" width="12.85546875" style="1" customWidth="1"/>
    <col min="4358" max="4358" width="13.140625" style="1" customWidth="1"/>
    <col min="4359" max="4359" width="61" style="1" customWidth="1"/>
    <col min="4360" max="4610" width="9.140625" style="1"/>
    <col min="4611" max="4611" width="7.140625" style="1" customWidth="1"/>
    <col min="4612" max="4612" width="10.42578125" style="1" customWidth="1"/>
    <col min="4613" max="4613" width="12.85546875" style="1" customWidth="1"/>
    <col min="4614" max="4614" width="13.140625" style="1" customWidth="1"/>
    <col min="4615" max="4615" width="61" style="1" customWidth="1"/>
    <col min="4616" max="4866" width="9.140625" style="1"/>
    <col min="4867" max="4867" width="7.140625" style="1" customWidth="1"/>
    <col min="4868" max="4868" width="10.42578125" style="1" customWidth="1"/>
    <col min="4869" max="4869" width="12.85546875" style="1" customWidth="1"/>
    <col min="4870" max="4870" width="13.140625" style="1" customWidth="1"/>
    <col min="4871" max="4871" width="61" style="1" customWidth="1"/>
    <col min="4872" max="5122" width="9.140625" style="1"/>
    <col min="5123" max="5123" width="7.140625" style="1" customWidth="1"/>
    <col min="5124" max="5124" width="10.42578125" style="1" customWidth="1"/>
    <col min="5125" max="5125" width="12.85546875" style="1" customWidth="1"/>
    <col min="5126" max="5126" width="13.140625" style="1" customWidth="1"/>
    <col min="5127" max="5127" width="61" style="1" customWidth="1"/>
    <col min="5128" max="5378" width="9.140625" style="1"/>
    <col min="5379" max="5379" width="7.140625" style="1" customWidth="1"/>
    <col min="5380" max="5380" width="10.42578125" style="1" customWidth="1"/>
    <col min="5381" max="5381" width="12.85546875" style="1" customWidth="1"/>
    <col min="5382" max="5382" width="13.140625" style="1" customWidth="1"/>
    <col min="5383" max="5383" width="61" style="1" customWidth="1"/>
    <col min="5384" max="5634" width="9.140625" style="1"/>
    <col min="5635" max="5635" width="7.140625" style="1" customWidth="1"/>
    <col min="5636" max="5636" width="10.42578125" style="1" customWidth="1"/>
    <col min="5637" max="5637" width="12.85546875" style="1" customWidth="1"/>
    <col min="5638" max="5638" width="13.140625" style="1" customWidth="1"/>
    <col min="5639" max="5639" width="61" style="1" customWidth="1"/>
    <col min="5640" max="5890" width="9.140625" style="1"/>
    <col min="5891" max="5891" width="7.140625" style="1" customWidth="1"/>
    <col min="5892" max="5892" width="10.42578125" style="1" customWidth="1"/>
    <col min="5893" max="5893" width="12.85546875" style="1" customWidth="1"/>
    <col min="5894" max="5894" width="13.140625" style="1" customWidth="1"/>
    <col min="5895" max="5895" width="61" style="1" customWidth="1"/>
    <col min="5896" max="6146" width="9.140625" style="1"/>
    <col min="6147" max="6147" width="7.140625" style="1" customWidth="1"/>
    <col min="6148" max="6148" width="10.42578125" style="1" customWidth="1"/>
    <col min="6149" max="6149" width="12.85546875" style="1" customWidth="1"/>
    <col min="6150" max="6150" width="13.140625" style="1" customWidth="1"/>
    <col min="6151" max="6151" width="61" style="1" customWidth="1"/>
    <col min="6152" max="6402" width="9.140625" style="1"/>
    <col min="6403" max="6403" width="7.140625" style="1" customWidth="1"/>
    <col min="6404" max="6404" width="10.42578125" style="1" customWidth="1"/>
    <col min="6405" max="6405" width="12.85546875" style="1" customWidth="1"/>
    <col min="6406" max="6406" width="13.140625" style="1" customWidth="1"/>
    <col min="6407" max="6407" width="61" style="1" customWidth="1"/>
    <col min="6408" max="6658" width="9.140625" style="1"/>
    <col min="6659" max="6659" width="7.140625" style="1" customWidth="1"/>
    <col min="6660" max="6660" width="10.42578125" style="1" customWidth="1"/>
    <col min="6661" max="6661" width="12.85546875" style="1" customWidth="1"/>
    <col min="6662" max="6662" width="13.140625" style="1" customWidth="1"/>
    <col min="6663" max="6663" width="61" style="1" customWidth="1"/>
    <col min="6664" max="6914" width="9.140625" style="1"/>
    <col min="6915" max="6915" width="7.140625" style="1" customWidth="1"/>
    <col min="6916" max="6916" width="10.42578125" style="1" customWidth="1"/>
    <col min="6917" max="6917" width="12.85546875" style="1" customWidth="1"/>
    <col min="6918" max="6918" width="13.140625" style="1" customWidth="1"/>
    <col min="6919" max="6919" width="61" style="1" customWidth="1"/>
    <col min="6920" max="7170" width="9.140625" style="1"/>
    <col min="7171" max="7171" width="7.140625" style="1" customWidth="1"/>
    <col min="7172" max="7172" width="10.42578125" style="1" customWidth="1"/>
    <col min="7173" max="7173" width="12.85546875" style="1" customWidth="1"/>
    <col min="7174" max="7174" width="13.140625" style="1" customWidth="1"/>
    <col min="7175" max="7175" width="61" style="1" customWidth="1"/>
    <col min="7176" max="7426" width="9.140625" style="1"/>
    <col min="7427" max="7427" width="7.140625" style="1" customWidth="1"/>
    <col min="7428" max="7428" width="10.42578125" style="1" customWidth="1"/>
    <col min="7429" max="7429" width="12.85546875" style="1" customWidth="1"/>
    <col min="7430" max="7430" width="13.140625" style="1" customWidth="1"/>
    <col min="7431" max="7431" width="61" style="1" customWidth="1"/>
    <col min="7432" max="7682" width="9.140625" style="1"/>
    <col min="7683" max="7683" width="7.140625" style="1" customWidth="1"/>
    <col min="7684" max="7684" width="10.42578125" style="1" customWidth="1"/>
    <col min="7685" max="7685" width="12.85546875" style="1" customWidth="1"/>
    <col min="7686" max="7686" width="13.140625" style="1" customWidth="1"/>
    <col min="7687" max="7687" width="61" style="1" customWidth="1"/>
    <col min="7688" max="7938" width="9.140625" style="1"/>
    <col min="7939" max="7939" width="7.140625" style="1" customWidth="1"/>
    <col min="7940" max="7940" width="10.42578125" style="1" customWidth="1"/>
    <col min="7941" max="7941" width="12.85546875" style="1" customWidth="1"/>
    <col min="7942" max="7942" width="13.140625" style="1" customWidth="1"/>
    <col min="7943" max="7943" width="61" style="1" customWidth="1"/>
    <col min="7944" max="8194" width="9.140625" style="1"/>
    <col min="8195" max="8195" width="7.140625" style="1" customWidth="1"/>
    <col min="8196" max="8196" width="10.42578125" style="1" customWidth="1"/>
    <col min="8197" max="8197" width="12.85546875" style="1" customWidth="1"/>
    <col min="8198" max="8198" width="13.140625" style="1" customWidth="1"/>
    <col min="8199" max="8199" width="61" style="1" customWidth="1"/>
    <col min="8200" max="8450" width="9.140625" style="1"/>
    <col min="8451" max="8451" width="7.140625" style="1" customWidth="1"/>
    <col min="8452" max="8452" width="10.42578125" style="1" customWidth="1"/>
    <col min="8453" max="8453" width="12.85546875" style="1" customWidth="1"/>
    <col min="8454" max="8454" width="13.140625" style="1" customWidth="1"/>
    <col min="8455" max="8455" width="61" style="1" customWidth="1"/>
    <col min="8456" max="8706" width="9.140625" style="1"/>
    <col min="8707" max="8707" width="7.140625" style="1" customWidth="1"/>
    <col min="8708" max="8708" width="10.42578125" style="1" customWidth="1"/>
    <col min="8709" max="8709" width="12.85546875" style="1" customWidth="1"/>
    <col min="8710" max="8710" width="13.140625" style="1" customWidth="1"/>
    <col min="8711" max="8711" width="61" style="1" customWidth="1"/>
    <col min="8712" max="8962" width="9.140625" style="1"/>
    <col min="8963" max="8963" width="7.140625" style="1" customWidth="1"/>
    <col min="8964" max="8964" width="10.42578125" style="1" customWidth="1"/>
    <col min="8965" max="8965" width="12.85546875" style="1" customWidth="1"/>
    <col min="8966" max="8966" width="13.140625" style="1" customWidth="1"/>
    <col min="8967" max="8967" width="61" style="1" customWidth="1"/>
    <col min="8968" max="9218" width="9.140625" style="1"/>
    <col min="9219" max="9219" width="7.140625" style="1" customWidth="1"/>
    <col min="9220" max="9220" width="10.42578125" style="1" customWidth="1"/>
    <col min="9221" max="9221" width="12.85546875" style="1" customWidth="1"/>
    <col min="9222" max="9222" width="13.140625" style="1" customWidth="1"/>
    <col min="9223" max="9223" width="61" style="1" customWidth="1"/>
    <col min="9224" max="9474" width="9.140625" style="1"/>
    <col min="9475" max="9475" width="7.140625" style="1" customWidth="1"/>
    <col min="9476" max="9476" width="10.42578125" style="1" customWidth="1"/>
    <col min="9477" max="9477" width="12.85546875" style="1" customWidth="1"/>
    <col min="9478" max="9478" width="13.140625" style="1" customWidth="1"/>
    <col min="9479" max="9479" width="61" style="1" customWidth="1"/>
    <col min="9480" max="9730" width="9.140625" style="1"/>
    <col min="9731" max="9731" width="7.140625" style="1" customWidth="1"/>
    <col min="9732" max="9732" width="10.42578125" style="1" customWidth="1"/>
    <col min="9733" max="9733" width="12.85546875" style="1" customWidth="1"/>
    <col min="9734" max="9734" width="13.140625" style="1" customWidth="1"/>
    <col min="9735" max="9735" width="61" style="1" customWidth="1"/>
    <col min="9736" max="9986" width="9.140625" style="1"/>
    <col min="9987" max="9987" width="7.140625" style="1" customWidth="1"/>
    <col min="9988" max="9988" width="10.42578125" style="1" customWidth="1"/>
    <col min="9989" max="9989" width="12.85546875" style="1" customWidth="1"/>
    <col min="9990" max="9990" width="13.140625" style="1" customWidth="1"/>
    <col min="9991" max="9991" width="61" style="1" customWidth="1"/>
    <col min="9992" max="10242" width="9.140625" style="1"/>
    <col min="10243" max="10243" width="7.140625" style="1" customWidth="1"/>
    <col min="10244" max="10244" width="10.42578125" style="1" customWidth="1"/>
    <col min="10245" max="10245" width="12.85546875" style="1" customWidth="1"/>
    <col min="10246" max="10246" width="13.140625" style="1" customWidth="1"/>
    <col min="10247" max="10247" width="61" style="1" customWidth="1"/>
    <col min="10248" max="10498" width="9.140625" style="1"/>
    <col min="10499" max="10499" width="7.140625" style="1" customWidth="1"/>
    <col min="10500" max="10500" width="10.42578125" style="1" customWidth="1"/>
    <col min="10501" max="10501" width="12.85546875" style="1" customWidth="1"/>
    <col min="10502" max="10502" width="13.140625" style="1" customWidth="1"/>
    <col min="10503" max="10503" width="61" style="1" customWidth="1"/>
    <col min="10504" max="10754" width="9.140625" style="1"/>
    <col min="10755" max="10755" width="7.140625" style="1" customWidth="1"/>
    <col min="10756" max="10756" width="10.42578125" style="1" customWidth="1"/>
    <col min="10757" max="10757" width="12.85546875" style="1" customWidth="1"/>
    <col min="10758" max="10758" width="13.140625" style="1" customWidth="1"/>
    <col min="10759" max="10759" width="61" style="1" customWidth="1"/>
    <col min="10760" max="11010" width="9.140625" style="1"/>
    <col min="11011" max="11011" width="7.140625" style="1" customWidth="1"/>
    <col min="11012" max="11012" width="10.42578125" style="1" customWidth="1"/>
    <col min="11013" max="11013" width="12.85546875" style="1" customWidth="1"/>
    <col min="11014" max="11014" width="13.140625" style="1" customWidth="1"/>
    <col min="11015" max="11015" width="61" style="1" customWidth="1"/>
    <col min="11016" max="11266" width="9.140625" style="1"/>
    <col min="11267" max="11267" width="7.140625" style="1" customWidth="1"/>
    <col min="11268" max="11268" width="10.42578125" style="1" customWidth="1"/>
    <col min="11269" max="11269" width="12.85546875" style="1" customWidth="1"/>
    <col min="11270" max="11270" width="13.140625" style="1" customWidth="1"/>
    <col min="11271" max="11271" width="61" style="1" customWidth="1"/>
    <col min="11272" max="11522" width="9.140625" style="1"/>
    <col min="11523" max="11523" width="7.140625" style="1" customWidth="1"/>
    <col min="11524" max="11524" width="10.42578125" style="1" customWidth="1"/>
    <col min="11525" max="11525" width="12.85546875" style="1" customWidth="1"/>
    <col min="11526" max="11526" width="13.140625" style="1" customWidth="1"/>
    <col min="11527" max="11527" width="61" style="1" customWidth="1"/>
    <col min="11528" max="11778" width="9.140625" style="1"/>
    <col min="11779" max="11779" width="7.140625" style="1" customWidth="1"/>
    <col min="11780" max="11780" width="10.42578125" style="1" customWidth="1"/>
    <col min="11781" max="11781" width="12.85546875" style="1" customWidth="1"/>
    <col min="11782" max="11782" width="13.140625" style="1" customWidth="1"/>
    <col min="11783" max="11783" width="61" style="1" customWidth="1"/>
    <col min="11784" max="12034" width="9.140625" style="1"/>
    <col min="12035" max="12035" width="7.140625" style="1" customWidth="1"/>
    <col min="12036" max="12036" width="10.42578125" style="1" customWidth="1"/>
    <col min="12037" max="12037" width="12.85546875" style="1" customWidth="1"/>
    <col min="12038" max="12038" width="13.140625" style="1" customWidth="1"/>
    <col min="12039" max="12039" width="61" style="1" customWidth="1"/>
    <col min="12040" max="12290" width="9.140625" style="1"/>
    <col min="12291" max="12291" width="7.140625" style="1" customWidth="1"/>
    <col min="12292" max="12292" width="10.42578125" style="1" customWidth="1"/>
    <col min="12293" max="12293" width="12.85546875" style="1" customWidth="1"/>
    <col min="12294" max="12294" width="13.140625" style="1" customWidth="1"/>
    <col min="12295" max="12295" width="61" style="1" customWidth="1"/>
    <col min="12296" max="12546" width="9.140625" style="1"/>
    <col min="12547" max="12547" width="7.140625" style="1" customWidth="1"/>
    <col min="12548" max="12548" width="10.42578125" style="1" customWidth="1"/>
    <col min="12549" max="12549" width="12.85546875" style="1" customWidth="1"/>
    <col min="12550" max="12550" width="13.140625" style="1" customWidth="1"/>
    <col min="12551" max="12551" width="61" style="1" customWidth="1"/>
    <col min="12552" max="12802" width="9.140625" style="1"/>
    <col min="12803" max="12803" width="7.140625" style="1" customWidth="1"/>
    <col min="12804" max="12804" width="10.42578125" style="1" customWidth="1"/>
    <col min="12805" max="12805" width="12.85546875" style="1" customWidth="1"/>
    <col min="12806" max="12806" width="13.140625" style="1" customWidth="1"/>
    <col min="12807" max="12807" width="61" style="1" customWidth="1"/>
    <col min="12808" max="13058" width="9.140625" style="1"/>
    <col min="13059" max="13059" width="7.140625" style="1" customWidth="1"/>
    <col min="13060" max="13060" width="10.42578125" style="1" customWidth="1"/>
    <col min="13061" max="13061" width="12.85546875" style="1" customWidth="1"/>
    <col min="13062" max="13062" width="13.140625" style="1" customWidth="1"/>
    <col min="13063" max="13063" width="61" style="1" customWidth="1"/>
    <col min="13064" max="13314" width="9.140625" style="1"/>
    <col min="13315" max="13315" width="7.140625" style="1" customWidth="1"/>
    <col min="13316" max="13316" width="10.42578125" style="1" customWidth="1"/>
    <col min="13317" max="13317" width="12.85546875" style="1" customWidth="1"/>
    <col min="13318" max="13318" width="13.140625" style="1" customWidth="1"/>
    <col min="13319" max="13319" width="61" style="1" customWidth="1"/>
    <col min="13320" max="13570" width="9.140625" style="1"/>
    <col min="13571" max="13571" width="7.140625" style="1" customWidth="1"/>
    <col min="13572" max="13572" width="10.42578125" style="1" customWidth="1"/>
    <col min="13573" max="13573" width="12.85546875" style="1" customWidth="1"/>
    <col min="13574" max="13574" width="13.140625" style="1" customWidth="1"/>
    <col min="13575" max="13575" width="61" style="1" customWidth="1"/>
    <col min="13576" max="13826" width="9.140625" style="1"/>
    <col min="13827" max="13827" width="7.140625" style="1" customWidth="1"/>
    <col min="13828" max="13828" width="10.42578125" style="1" customWidth="1"/>
    <col min="13829" max="13829" width="12.85546875" style="1" customWidth="1"/>
    <col min="13830" max="13830" width="13.140625" style="1" customWidth="1"/>
    <col min="13831" max="13831" width="61" style="1" customWidth="1"/>
    <col min="13832" max="14082" width="9.140625" style="1"/>
    <col min="14083" max="14083" width="7.140625" style="1" customWidth="1"/>
    <col min="14084" max="14084" width="10.42578125" style="1" customWidth="1"/>
    <col min="14085" max="14085" width="12.85546875" style="1" customWidth="1"/>
    <col min="14086" max="14086" width="13.140625" style="1" customWidth="1"/>
    <col min="14087" max="14087" width="61" style="1" customWidth="1"/>
    <col min="14088" max="14338" width="9.140625" style="1"/>
    <col min="14339" max="14339" width="7.140625" style="1" customWidth="1"/>
    <col min="14340" max="14340" width="10.42578125" style="1" customWidth="1"/>
    <col min="14341" max="14341" width="12.85546875" style="1" customWidth="1"/>
    <col min="14342" max="14342" width="13.140625" style="1" customWidth="1"/>
    <col min="14343" max="14343" width="61" style="1" customWidth="1"/>
    <col min="14344" max="14594" width="9.140625" style="1"/>
    <col min="14595" max="14595" width="7.140625" style="1" customWidth="1"/>
    <col min="14596" max="14596" width="10.42578125" style="1" customWidth="1"/>
    <col min="14597" max="14597" width="12.85546875" style="1" customWidth="1"/>
    <col min="14598" max="14598" width="13.140625" style="1" customWidth="1"/>
    <col min="14599" max="14599" width="61" style="1" customWidth="1"/>
    <col min="14600" max="14850" width="9.140625" style="1"/>
    <col min="14851" max="14851" width="7.140625" style="1" customWidth="1"/>
    <col min="14852" max="14852" width="10.42578125" style="1" customWidth="1"/>
    <col min="14853" max="14853" width="12.85546875" style="1" customWidth="1"/>
    <col min="14854" max="14854" width="13.140625" style="1" customWidth="1"/>
    <col min="14855" max="14855" width="61" style="1" customWidth="1"/>
    <col min="14856" max="15106" width="9.140625" style="1"/>
    <col min="15107" max="15107" width="7.140625" style="1" customWidth="1"/>
    <col min="15108" max="15108" width="10.42578125" style="1" customWidth="1"/>
    <col min="15109" max="15109" width="12.85546875" style="1" customWidth="1"/>
    <col min="15110" max="15110" width="13.140625" style="1" customWidth="1"/>
    <col min="15111" max="15111" width="61" style="1" customWidth="1"/>
    <col min="15112" max="15362" width="9.140625" style="1"/>
    <col min="15363" max="15363" width="7.140625" style="1" customWidth="1"/>
    <col min="15364" max="15364" width="10.42578125" style="1" customWidth="1"/>
    <col min="15365" max="15365" width="12.85546875" style="1" customWidth="1"/>
    <col min="15366" max="15366" width="13.140625" style="1" customWidth="1"/>
    <col min="15367" max="15367" width="61" style="1" customWidth="1"/>
    <col min="15368" max="15618" width="9.140625" style="1"/>
    <col min="15619" max="15619" width="7.140625" style="1" customWidth="1"/>
    <col min="15620" max="15620" width="10.42578125" style="1" customWidth="1"/>
    <col min="15621" max="15621" width="12.85546875" style="1" customWidth="1"/>
    <col min="15622" max="15622" width="13.140625" style="1" customWidth="1"/>
    <col min="15623" max="15623" width="61" style="1" customWidth="1"/>
    <col min="15624" max="15874" width="9.140625" style="1"/>
    <col min="15875" max="15875" width="7.140625" style="1" customWidth="1"/>
    <col min="15876" max="15876" width="10.42578125" style="1" customWidth="1"/>
    <col min="15877" max="15877" width="12.85546875" style="1" customWidth="1"/>
    <col min="15878" max="15878" width="13.140625" style="1" customWidth="1"/>
    <col min="15879" max="15879" width="61" style="1" customWidth="1"/>
    <col min="15880" max="16130" width="9.140625" style="1"/>
    <col min="16131" max="16131" width="7.140625" style="1" customWidth="1"/>
    <col min="16132" max="16132" width="10.42578125" style="1" customWidth="1"/>
    <col min="16133" max="16133" width="12.85546875" style="1" customWidth="1"/>
    <col min="16134" max="16134" width="13.140625" style="1" customWidth="1"/>
    <col min="16135" max="16135" width="61" style="1" customWidth="1"/>
    <col min="16136" max="16384" width="9.140625" style="1"/>
  </cols>
  <sheetData>
    <row r="1" spans="1:7" ht="60" customHeight="1">
      <c r="B1" s="1641"/>
      <c r="C1" s="1641"/>
      <c r="D1" s="1641"/>
      <c r="E1" s="1642"/>
      <c r="G1" s="252" t="s">
        <v>1063</v>
      </c>
    </row>
    <row r="2" spans="1:7" ht="51.75" customHeight="1" thickBot="1">
      <c r="A2" s="1618" t="s">
        <v>109</v>
      </c>
      <c r="B2" s="1618"/>
      <c r="C2" s="1618"/>
      <c r="D2" s="1618"/>
      <c r="E2" s="1618"/>
      <c r="F2" s="1618"/>
      <c r="G2" s="1618"/>
    </row>
    <row r="3" spans="1:7" ht="36.75" customHeight="1" thickBot="1">
      <c r="A3" s="26" t="s">
        <v>39</v>
      </c>
      <c r="B3" s="26" t="s">
        <v>0</v>
      </c>
      <c r="C3" s="27" t="s">
        <v>1</v>
      </c>
      <c r="D3" s="132" t="s">
        <v>8</v>
      </c>
      <c r="E3" s="131" t="s">
        <v>108</v>
      </c>
      <c r="F3" s="130" t="s">
        <v>107</v>
      </c>
      <c r="G3" s="26" t="s">
        <v>47</v>
      </c>
    </row>
    <row r="4" spans="1:7" ht="25.5">
      <c r="A4" s="1652">
        <v>1</v>
      </c>
      <c r="B4" s="1645" t="s">
        <v>5</v>
      </c>
      <c r="C4" s="129" t="s">
        <v>28</v>
      </c>
      <c r="D4" s="128">
        <v>2830</v>
      </c>
      <c r="E4" s="127">
        <v>410000</v>
      </c>
      <c r="F4" s="127">
        <v>410000</v>
      </c>
      <c r="G4" s="126" t="s">
        <v>106</v>
      </c>
    </row>
    <row r="5" spans="1:7" ht="51.75" thickBot="1">
      <c r="A5" s="1653"/>
      <c r="B5" s="1646"/>
      <c r="C5" s="125" t="s">
        <v>11</v>
      </c>
      <c r="D5" s="124">
        <v>2360</v>
      </c>
      <c r="E5" s="123">
        <v>2686050</v>
      </c>
      <c r="F5" s="123">
        <v>1797750</v>
      </c>
      <c r="G5" s="122" t="s">
        <v>902</v>
      </c>
    </row>
    <row r="6" spans="1:7" ht="13.5" customHeight="1" thickBot="1">
      <c r="A6" s="103">
        <v>2</v>
      </c>
      <c r="B6" s="121" t="s">
        <v>16</v>
      </c>
      <c r="C6" s="121" t="s">
        <v>6</v>
      </c>
      <c r="D6" s="120">
        <v>2830</v>
      </c>
      <c r="E6" s="119">
        <v>51418868</v>
      </c>
      <c r="F6" s="119">
        <v>42015922</v>
      </c>
      <c r="G6" s="118" t="s">
        <v>105</v>
      </c>
    </row>
    <row r="7" spans="1:7" ht="51.75" thickBot="1">
      <c r="A7" s="103">
        <v>3</v>
      </c>
      <c r="B7" s="117">
        <v>750</v>
      </c>
      <c r="C7" s="117">
        <v>75095</v>
      </c>
      <c r="D7" s="116">
        <v>2830</v>
      </c>
      <c r="E7" s="115">
        <v>3952168</v>
      </c>
      <c r="F7" s="115">
        <v>6250</v>
      </c>
      <c r="G7" s="104" t="s">
        <v>903</v>
      </c>
    </row>
    <row r="8" spans="1:7" ht="13.5" thickBot="1">
      <c r="A8" s="103">
        <v>4</v>
      </c>
      <c r="B8" s="117">
        <v>754</v>
      </c>
      <c r="C8" s="117">
        <v>75415</v>
      </c>
      <c r="D8" s="116">
        <v>2360</v>
      </c>
      <c r="E8" s="115">
        <v>206250</v>
      </c>
      <c r="F8" s="115">
        <v>206250</v>
      </c>
      <c r="G8" s="114" t="s">
        <v>104</v>
      </c>
    </row>
    <row r="9" spans="1:7" ht="25.5">
      <c r="A9" s="1652">
        <v>5</v>
      </c>
      <c r="B9" s="1643" t="s">
        <v>25</v>
      </c>
      <c r="C9" s="112" t="s">
        <v>29</v>
      </c>
      <c r="D9" s="111">
        <v>2360</v>
      </c>
      <c r="E9" s="110">
        <v>70650</v>
      </c>
      <c r="F9" s="110">
        <v>70650</v>
      </c>
      <c r="G9" s="113" t="s">
        <v>103</v>
      </c>
    </row>
    <row r="10" spans="1:7" ht="39" thickBot="1">
      <c r="A10" s="1653"/>
      <c r="B10" s="1644"/>
      <c r="C10" s="108" t="s">
        <v>30</v>
      </c>
      <c r="D10" s="107">
        <v>2360</v>
      </c>
      <c r="E10" s="106">
        <v>380650</v>
      </c>
      <c r="F10" s="106">
        <v>355000</v>
      </c>
      <c r="G10" s="105" t="s">
        <v>1051</v>
      </c>
    </row>
    <row r="11" spans="1:7" ht="25.5">
      <c r="A11" s="1652">
        <v>6</v>
      </c>
      <c r="B11" s="1643" t="s">
        <v>26</v>
      </c>
      <c r="C11" s="112" t="s">
        <v>37</v>
      </c>
      <c r="D11" s="111">
        <v>2360</v>
      </c>
      <c r="E11" s="110">
        <v>200000</v>
      </c>
      <c r="F11" s="110">
        <v>200000</v>
      </c>
      <c r="G11" s="109" t="s">
        <v>921</v>
      </c>
    </row>
    <row r="12" spans="1:7" ht="25.5">
      <c r="A12" s="1654"/>
      <c r="B12" s="1651"/>
      <c r="C12" s="306" t="s">
        <v>196</v>
      </c>
      <c r="D12" s="307">
        <v>2360</v>
      </c>
      <c r="E12" s="308">
        <v>100000</v>
      </c>
      <c r="F12" s="308">
        <v>100000</v>
      </c>
      <c r="G12" s="309" t="s">
        <v>1052</v>
      </c>
    </row>
    <row r="13" spans="1:7" ht="28.5" customHeight="1" thickBot="1">
      <c r="A13" s="1653"/>
      <c r="B13" s="1644"/>
      <c r="C13" s="108" t="s">
        <v>31</v>
      </c>
      <c r="D13" s="107">
        <v>2360</v>
      </c>
      <c r="E13" s="106">
        <v>2652966</v>
      </c>
      <c r="F13" s="106">
        <v>800000</v>
      </c>
      <c r="G13" s="105" t="s">
        <v>102</v>
      </c>
    </row>
    <row r="14" spans="1:7" ht="45" customHeight="1" thickBot="1">
      <c r="A14" s="103">
        <v>7</v>
      </c>
      <c r="B14" s="102" t="s">
        <v>27</v>
      </c>
      <c r="C14" s="102" t="s">
        <v>32</v>
      </c>
      <c r="D14" s="101">
        <v>2360</v>
      </c>
      <c r="E14" s="100">
        <v>1396650</v>
      </c>
      <c r="F14" s="100">
        <v>777925</v>
      </c>
      <c r="G14" s="104" t="s">
        <v>101</v>
      </c>
    </row>
    <row r="15" spans="1:7" ht="18" customHeight="1" thickBot="1">
      <c r="A15" s="103">
        <v>8</v>
      </c>
      <c r="B15" s="102" t="s">
        <v>22</v>
      </c>
      <c r="C15" s="102" t="s">
        <v>33</v>
      </c>
      <c r="D15" s="101">
        <v>2360</v>
      </c>
      <c r="E15" s="100">
        <v>685000</v>
      </c>
      <c r="F15" s="100">
        <v>520000</v>
      </c>
      <c r="G15" s="98" t="s">
        <v>100</v>
      </c>
    </row>
    <row r="16" spans="1:7" ht="34.5" customHeight="1" thickBot="1">
      <c r="A16" s="103">
        <v>9</v>
      </c>
      <c r="B16" s="102" t="s">
        <v>22</v>
      </c>
      <c r="C16" s="102" t="s">
        <v>4</v>
      </c>
      <c r="D16" s="101">
        <v>2720</v>
      </c>
      <c r="E16" s="100">
        <v>1500000</v>
      </c>
      <c r="F16" s="99">
        <v>1500000</v>
      </c>
      <c r="G16" s="98" t="s">
        <v>99</v>
      </c>
    </row>
    <row r="17" spans="1:7" ht="13.5" customHeight="1">
      <c r="A17" s="1652">
        <v>10</v>
      </c>
      <c r="B17" s="1643" t="s">
        <v>34</v>
      </c>
      <c r="C17" s="1643" t="s">
        <v>35</v>
      </c>
      <c r="D17" s="97">
        <v>2360</v>
      </c>
      <c r="E17" s="1649">
        <v>2764132</v>
      </c>
      <c r="F17" s="96">
        <v>121732</v>
      </c>
      <c r="G17" s="1647" t="s">
        <v>98</v>
      </c>
    </row>
    <row r="18" spans="1:7" ht="16.5" customHeight="1" thickBot="1">
      <c r="A18" s="1653"/>
      <c r="B18" s="1644"/>
      <c r="C18" s="1644"/>
      <c r="D18" s="69">
        <v>2820</v>
      </c>
      <c r="E18" s="1650"/>
      <c r="F18" s="68">
        <v>2050000</v>
      </c>
      <c r="G18" s="1648"/>
    </row>
    <row r="19" spans="1:7" s="93" customFormat="1" ht="30" customHeight="1" thickBot="1">
      <c r="A19" s="1640" t="s">
        <v>97</v>
      </c>
      <c r="B19" s="1640"/>
      <c r="C19" s="1640"/>
      <c r="D19" s="95"/>
      <c r="E19" s="67">
        <f>SUM(E4:E18)</f>
        <v>68423384</v>
      </c>
      <c r="F19" s="67">
        <f>SUM(F4:F18)</f>
        <v>50931479</v>
      </c>
      <c r="G19" s="94"/>
    </row>
    <row r="20" spans="1:7">
      <c r="B20" s="88"/>
      <c r="C20" s="88"/>
      <c r="D20" s="88"/>
      <c r="E20" s="92"/>
      <c r="F20" s="92"/>
      <c r="G20" s="91"/>
    </row>
    <row r="21" spans="1:7">
      <c r="B21" s="88"/>
      <c r="C21" s="88"/>
      <c r="D21" s="88"/>
      <c r="E21" s="92"/>
      <c r="F21" s="92"/>
      <c r="G21" s="91"/>
    </row>
    <row r="22" spans="1:7">
      <c r="B22" s="88"/>
      <c r="C22" s="88"/>
      <c r="D22" s="88"/>
      <c r="E22" s="92"/>
      <c r="F22" s="92"/>
      <c r="G22" s="91"/>
    </row>
    <row r="23" spans="1:7">
      <c r="B23" s="88"/>
      <c r="C23" s="88"/>
      <c r="D23" s="88"/>
      <c r="E23" s="92"/>
      <c r="F23" s="92"/>
      <c r="G23" s="91"/>
    </row>
    <row r="24" spans="1:7">
      <c r="B24" s="88"/>
      <c r="C24" s="88"/>
      <c r="D24" s="88"/>
      <c r="E24" s="92"/>
      <c r="F24" s="92"/>
      <c r="G24" s="91"/>
    </row>
    <row r="25" spans="1:7">
      <c r="B25" s="88"/>
      <c r="C25" s="88"/>
      <c r="D25" s="88"/>
      <c r="E25" s="92"/>
      <c r="F25" s="92"/>
      <c r="G25" s="91"/>
    </row>
    <row r="26" spans="1:7">
      <c r="B26" s="88"/>
      <c r="C26" s="88"/>
      <c r="D26" s="88"/>
      <c r="E26" s="92"/>
      <c r="F26" s="92"/>
      <c r="G26" s="91"/>
    </row>
    <row r="27" spans="1:7">
      <c r="B27" s="88"/>
      <c r="C27" s="88"/>
      <c r="D27" s="88"/>
      <c r="E27" s="92"/>
      <c r="F27" s="92"/>
      <c r="G27" s="91"/>
    </row>
    <row r="28" spans="1:7">
      <c r="B28" s="88"/>
      <c r="C28" s="88"/>
      <c r="D28" s="88"/>
      <c r="E28" s="92"/>
      <c r="F28" s="92"/>
      <c r="G28" s="91"/>
    </row>
    <row r="29" spans="1:7">
      <c r="B29" s="88"/>
      <c r="C29" s="88"/>
      <c r="D29" s="88"/>
      <c r="E29" s="92"/>
      <c r="F29" s="92"/>
      <c r="G29" s="91"/>
    </row>
    <row r="30" spans="1:7">
      <c r="B30" s="88"/>
      <c r="C30" s="88"/>
      <c r="D30" s="88"/>
      <c r="E30" s="92"/>
      <c r="F30" s="92"/>
      <c r="G30" s="91"/>
    </row>
    <row r="31" spans="1:7">
      <c r="B31" s="88"/>
      <c r="C31" s="88"/>
      <c r="D31" s="88"/>
      <c r="E31" s="92"/>
      <c r="F31" s="92"/>
      <c r="G31" s="91"/>
    </row>
    <row r="32" spans="1:7">
      <c r="B32" s="88"/>
      <c r="C32" s="88"/>
      <c r="D32" s="88"/>
      <c r="E32" s="92"/>
      <c r="F32" s="92"/>
      <c r="G32" s="91"/>
    </row>
    <row r="33" spans="2:7">
      <c r="B33" s="88"/>
      <c r="C33" s="88"/>
      <c r="D33" s="88"/>
      <c r="E33" s="92"/>
      <c r="F33" s="92"/>
      <c r="G33" s="91"/>
    </row>
    <row r="34" spans="2:7">
      <c r="B34" s="88"/>
      <c r="C34" s="89"/>
      <c r="D34" s="89"/>
      <c r="E34" s="90"/>
      <c r="F34" s="90"/>
    </row>
    <row r="35" spans="2:7">
      <c r="B35" s="88"/>
      <c r="C35" s="89"/>
      <c r="D35" s="89"/>
      <c r="E35" s="90"/>
      <c r="F35" s="90"/>
    </row>
    <row r="36" spans="2:7">
      <c r="B36" s="88"/>
      <c r="C36" s="89"/>
      <c r="D36" s="89"/>
      <c r="E36" s="90"/>
      <c r="F36" s="90"/>
    </row>
    <row r="37" spans="2:7">
      <c r="B37" s="88"/>
      <c r="C37" s="89"/>
      <c r="D37" s="89"/>
      <c r="E37" s="90"/>
      <c r="F37" s="90"/>
    </row>
    <row r="38" spans="2:7">
      <c r="B38" s="88"/>
      <c r="C38" s="89"/>
      <c r="D38" s="89"/>
      <c r="E38" s="90"/>
      <c r="F38" s="90"/>
    </row>
    <row r="39" spans="2:7">
      <c r="B39" s="88"/>
      <c r="C39" s="89"/>
      <c r="D39" s="89"/>
      <c r="E39" s="90"/>
      <c r="F39" s="90"/>
    </row>
    <row r="40" spans="2:7">
      <c r="B40" s="88"/>
      <c r="C40" s="89"/>
      <c r="D40" s="89"/>
      <c r="E40" s="90"/>
      <c r="F40" s="90"/>
    </row>
    <row r="41" spans="2:7">
      <c r="B41" s="88"/>
      <c r="C41" s="89"/>
      <c r="D41" s="89"/>
      <c r="E41" s="90"/>
      <c r="F41" s="90"/>
    </row>
    <row r="42" spans="2:7">
      <c r="B42" s="88"/>
      <c r="C42" s="89"/>
      <c r="D42" s="89"/>
      <c r="E42" s="90"/>
      <c r="F42" s="90"/>
    </row>
    <row r="43" spans="2:7">
      <c r="B43" s="88"/>
      <c r="C43" s="89"/>
      <c r="D43" s="89"/>
      <c r="E43" s="90"/>
      <c r="F43" s="90"/>
    </row>
    <row r="44" spans="2:7">
      <c r="B44" s="88"/>
      <c r="C44" s="89"/>
      <c r="D44" s="89"/>
      <c r="E44" s="90"/>
      <c r="F44" s="90"/>
    </row>
    <row r="45" spans="2:7">
      <c r="B45" s="88"/>
      <c r="C45" s="89"/>
      <c r="D45" s="89"/>
      <c r="E45" s="90"/>
      <c r="F45" s="90"/>
    </row>
    <row r="46" spans="2:7">
      <c r="B46" s="88"/>
      <c r="C46" s="89"/>
      <c r="D46" s="89"/>
      <c r="E46" s="90"/>
      <c r="F46" s="90"/>
    </row>
    <row r="47" spans="2:7">
      <c r="B47" s="88"/>
      <c r="C47" s="89"/>
      <c r="D47" s="89"/>
      <c r="E47" s="90"/>
      <c r="F47" s="90"/>
    </row>
    <row r="48" spans="2:7">
      <c r="B48" s="88"/>
      <c r="C48" s="89"/>
      <c r="D48" s="89"/>
      <c r="E48" s="90"/>
      <c r="F48" s="90"/>
    </row>
    <row r="49" spans="2:6">
      <c r="B49" s="88"/>
      <c r="C49" s="89"/>
      <c r="D49" s="89"/>
      <c r="E49" s="90"/>
      <c r="F49" s="90"/>
    </row>
    <row r="50" spans="2:6">
      <c r="B50" s="88"/>
      <c r="C50" s="89"/>
      <c r="D50" s="89"/>
      <c r="E50" s="90"/>
      <c r="F50" s="90"/>
    </row>
    <row r="51" spans="2:6">
      <c r="B51" s="88"/>
      <c r="C51" s="89"/>
      <c r="D51" s="89"/>
      <c r="E51" s="90"/>
      <c r="F51" s="90"/>
    </row>
    <row r="52" spans="2:6">
      <c r="B52" s="88"/>
      <c r="C52" s="89"/>
      <c r="D52" s="89"/>
      <c r="E52" s="90"/>
      <c r="F52" s="90"/>
    </row>
    <row r="53" spans="2:6">
      <c r="B53" s="88"/>
      <c r="C53" s="89"/>
      <c r="D53" s="89"/>
      <c r="E53" s="90"/>
      <c r="F53" s="90"/>
    </row>
    <row r="54" spans="2:6">
      <c r="B54" s="88"/>
      <c r="C54" s="89"/>
      <c r="D54" s="89"/>
      <c r="E54" s="90"/>
      <c r="F54" s="90"/>
    </row>
    <row r="55" spans="2:6">
      <c r="B55" s="88"/>
      <c r="C55" s="89"/>
      <c r="D55" s="89"/>
      <c r="E55" s="90"/>
      <c r="F55" s="90"/>
    </row>
    <row r="56" spans="2:6">
      <c r="B56" s="88"/>
      <c r="C56" s="89"/>
      <c r="D56" s="89"/>
      <c r="E56" s="90"/>
      <c r="F56" s="90"/>
    </row>
    <row r="57" spans="2:6">
      <c r="B57" s="88"/>
      <c r="C57" s="89"/>
      <c r="D57" s="89"/>
      <c r="E57" s="90"/>
      <c r="F57" s="90"/>
    </row>
    <row r="58" spans="2:6">
      <c r="B58" s="88"/>
      <c r="C58" s="89"/>
      <c r="D58" s="89"/>
      <c r="E58" s="90"/>
      <c r="F58" s="90"/>
    </row>
    <row r="59" spans="2:6">
      <c r="B59" s="88"/>
      <c r="C59" s="89"/>
      <c r="D59" s="89"/>
      <c r="E59" s="90"/>
      <c r="F59" s="90"/>
    </row>
    <row r="60" spans="2:6">
      <c r="B60" s="88"/>
      <c r="C60" s="89"/>
      <c r="D60" s="89"/>
      <c r="E60" s="90"/>
      <c r="F60" s="90"/>
    </row>
    <row r="61" spans="2:6">
      <c r="B61" s="88"/>
      <c r="C61" s="89"/>
      <c r="D61" s="89"/>
      <c r="E61" s="90"/>
      <c r="F61" s="90"/>
    </row>
    <row r="62" spans="2:6">
      <c r="B62" s="88"/>
      <c r="C62" s="89"/>
      <c r="D62" s="89"/>
      <c r="E62" s="90"/>
      <c r="F62" s="90"/>
    </row>
    <row r="63" spans="2:6">
      <c r="B63" s="88"/>
      <c r="C63" s="89"/>
      <c r="D63" s="89"/>
      <c r="E63" s="90"/>
      <c r="F63" s="90"/>
    </row>
    <row r="64" spans="2:6">
      <c r="B64" s="88"/>
      <c r="C64" s="89"/>
      <c r="D64" s="89"/>
      <c r="E64" s="90"/>
      <c r="F64" s="90"/>
    </row>
    <row r="65" spans="2:6">
      <c r="B65" s="88"/>
      <c r="C65" s="89"/>
      <c r="D65" s="89"/>
      <c r="E65" s="90"/>
      <c r="F65" s="90"/>
    </row>
    <row r="66" spans="2:6">
      <c r="B66" s="88"/>
      <c r="C66" s="89"/>
      <c r="D66" s="89"/>
      <c r="E66" s="86"/>
      <c r="F66" s="86"/>
    </row>
    <row r="67" spans="2:6">
      <c r="B67" s="88"/>
      <c r="C67" s="89"/>
      <c r="D67" s="89"/>
      <c r="E67" s="86"/>
      <c r="F67" s="86"/>
    </row>
    <row r="68" spans="2:6">
      <c r="B68" s="88"/>
      <c r="C68" s="89"/>
      <c r="D68" s="89"/>
      <c r="E68" s="86"/>
      <c r="F68" s="86"/>
    </row>
    <row r="69" spans="2:6">
      <c r="B69" s="88"/>
      <c r="C69" s="87"/>
      <c r="D69" s="87"/>
      <c r="E69" s="86"/>
      <c r="F69" s="86"/>
    </row>
    <row r="70" spans="2:6">
      <c r="B70" s="88"/>
      <c r="C70" s="87"/>
      <c r="D70" s="87"/>
      <c r="E70" s="86"/>
      <c r="F70" s="86"/>
    </row>
    <row r="71" spans="2:6">
      <c r="B71" s="88"/>
      <c r="C71" s="87"/>
      <c r="D71" s="87"/>
      <c r="E71" s="86"/>
      <c r="F71" s="86"/>
    </row>
    <row r="72" spans="2:6">
      <c r="B72" s="88"/>
      <c r="C72" s="87"/>
      <c r="D72" s="87"/>
      <c r="E72" s="86"/>
      <c r="F72" s="86"/>
    </row>
    <row r="73" spans="2:6">
      <c r="B73" s="88"/>
      <c r="C73" s="87"/>
      <c r="D73" s="87"/>
      <c r="E73" s="86"/>
      <c r="F73" s="86"/>
    </row>
    <row r="74" spans="2:6">
      <c r="B74" s="88"/>
      <c r="C74" s="87"/>
      <c r="D74" s="87"/>
      <c r="E74" s="86"/>
      <c r="F74" s="86"/>
    </row>
    <row r="75" spans="2:6">
      <c r="B75" s="88"/>
      <c r="C75" s="87"/>
      <c r="D75" s="87"/>
      <c r="E75" s="86"/>
      <c r="F75" s="86"/>
    </row>
    <row r="76" spans="2:6">
      <c r="B76" s="88"/>
      <c r="C76" s="87"/>
      <c r="D76" s="87"/>
      <c r="E76" s="86"/>
      <c r="F76" s="86"/>
    </row>
    <row r="77" spans="2:6">
      <c r="B77" s="88"/>
      <c r="C77" s="87"/>
      <c r="D77" s="87"/>
      <c r="E77" s="86"/>
      <c r="F77" s="86"/>
    </row>
    <row r="78" spans="2:6">
      <c r="B78" s="88"/>
      <c r="C78" s="87"/>
      <c r="D78" s="87"/>
      <c r="E78" s="86"/>
      <c r="F78" s="86"/>
    </row>
    <row r="79" spans="2:6">
      <c r="B79" s="88"/>
      <c r="C79" s="87"/>
      <c r="D79" s="87"/>
      <c r="E79" s="86"/>
      <c r="F79" s="86"/>
    </row>
    <row r="80" spans="2:6">
      <c r="B80" s="88"/>
      <c r="C80" s="87"/>
      <c r="D80" s="87"/>
      <c r="E80" s="86"/>
      <c r="F80" s="86"/>
    </row>
    <row r="81" spans="2:6">
      <c r="B81" s="88"/>
      <c r="C81" s="87"/>
      <c r="D81" s="87"/>
      <c r="E81" s="86"/>
      <c r="F81" s="86"/>
    </row>
    <row r="82" spans="2:6">
      <c r="B82" s="88"/>
      <c r="C82" s="87"/>
      <c r="D82" s="87"/>
      <c r="E82" s="86"/>
      <c r="F82" s="86"/>
    </row>
    <row r="83" spans="2:6">
      <c r="B83" s="88"/>
      <c r="C83" s="87"/>
      <c r="D83" s="87"/>
      <c r="E83" s="86"/>
      <c r="F83" s="86"/>
    </row>
    <row r="84" spans="2:6">
      <c r="B84" s="88"/>
      <c r="C84" s="87"/>
      <c r="D84" s="87"/>
      <c r="E84" s="86"/>
      <c r="F84" s="86"/>
    </row>
    <row r="85" spans="2:6">
      <c r="B85" s="88"/>
      <c r="C85" s="87"/>
      <c r="D85" s="87"/>
      <c r="E85" s="86"/>
      <c r="F85" s="86"/>
    </row>
    <row r="86" spans="2:6">
      <c r="B86" s="88"/>
      <c r="C86" s="87"/>
      <c r="D86" s="87"/>
      <c r="E86" s="86"/>
      <c r="F86" s="86"/>
    </row>
    <row r="87" spans="2:6">
      <c r="B87" s="88"/>
      <c r="C87" s="87"/>
      <c r="D87" s="87"/>
      <c r="E87" s="86"/>
      <c r="F87" s="86"/>
    </row>
    <row r="88" spans="2:6">
      <c r="B88" s="88"/>
      <c r="C88" s="87"/>
      <c r="D88" s="87"/>
      <c r="E88" s="86"/>
      <c r="F88" s="86"/>
    </row>
    <row r="89" spans="2:6">
      <c r="B89" s="88"/>
      <c r="C89" s="87"/>
      <c r="D89" s="87"/>
      <c r="E89" s="86"/>
      <c r="F89" s="86"/>
    </row>
    <row r="90" spans="2:6">
      <c r="B90" s="88"/>
      <c r="C90" s="87"/>
      <c r="D90" s="87"/>
      <c r="E90" s="86"/>
      <c r="F90" s="86"/>
    </row>
    <row r="91" spans="2:6">
      <c r="B91" s="88"/>
      <c r="C91" s="87"/>
      <c r="D91" s="87"/>
      <c r="E91" s="86"/>
      <c r="F91" s="86"/>
    </row>
    <row r="92" spans="2:6">
      <c r="B92" s="88"/>
      <c r="C92" s="87"/>
      <c r="D92" s="87"/>
      <c r="E92" s="86"/>
      <c r="F92" s="86"/>
    </row>
    <row r="93" spans="2:6">
      <c r="B93" s="85"/>
      <c r="C93" s="6"/>
      <c r="D93" s="6"/>
    </row>
    <row r="94" spans="2:6">
      <c r="B94" s="85"/>
      <c r="C94" s="6"/>
      <c r="D94" s="6"/>
    </row>
    <row r="95" spans="2:6">
      <c r="B95" s="85"/>
      <c r="C95" s="6"/>
      <c r="D95" s="6"/>
    </row>
    <row r="96" spans="2:6">
      <c r="B96" s="85"/>
      <c r="C96" s="6"/>
      <c r="D96" s="6"/>
    </row>
    <row r="97" spans="2:4">
      <c r="B97" s="85"/>
      <c r="C97" s="6"/>
      <c r="D97" s="6"/>
    </row>
    <row r="98" spans="2:4">
      <c r="B98" s="85"/>
      <c r="C98" s="6"/>
      <c r="D98" s="6"/>
    </row>
    <row r="99" spans="2:4">
      <c r="B99" s="85"/>
      <c r="C99" s="6"/>
      <c r="D99" s="6"/>
    </row>
    <row r="100" spans="2:4">
      <c r="B100" s="85"/>
      <c r="C100" s="6"/>
      <c r="D100" s="6"/>
    </row>
    <row r="101" spans="2:4">
      <c r="B101" s="85"/>
      <c r="C101" s="6"/>
      <c r="D101" s="6"/>
    </row>
    <row r="102" spans="2:4">
      <c r="B102" s="85"/>
      <c r="C102" s="6"/>
      <c r="D102" s="6"/>
    </row>
    <row r="103" spans="2:4">
      <c r="B103" s="85"/>
      <c r="C103" s="6"/>
      <c r="D103" s="6"/>
    </row>
    <row r="104" spans="2:4">
      <c r="B104" s="85"/>
      <c r="C104" s="6"/>
      <c r="D104" s="6"/>
    </row>
    <row r="105" spans="2:4">
      <c r="B105" s="85"/>
      <c r="C105" s="6"/>
      <c r="D105" s="6"/>
    </row>
    <row r="106" spans="2:4">
      <c r="B106" s="85"/>
      <c r="C106" s="6"/>
      <c r="D106" s="6"/>
    </row>
    <row r="107" spans="2:4">
      <c r="B107" s="85"/>
      <c r="C107" s="6"/>
      <c r="D107" s="6"/>
    </row>
    <row r="108" spans="2:4">
      <c r="B108" s="85"/>
      <c r="C108" s="6"/>
      <c r="D108" s="6"/>
    </row>
    <row r="109" spans="2:4">
      <c r="B109" s="6"/>
      <c r="C109" s="6"/>
      <c r="D109" s="6"/>
    </row>
    <row r="110" spans="2:4">
      <c r="B110" s="6"/>
      <c r="C110" s="6"/>
      <c r="D110" s="6"/>
    </row>
    <row r="111" spans="2:4">
      <c r="B111" s="6"/>
      <c r="C111" s="6"/>
      <c r="D111" s="6"/>
    </row>
    <row r="112" spans="2:4">
      <c r="B112" s="6"/>
      <c r="C112" s="6"/>
      <c r="D112" s="6"/>
    </row>
    <row r="113" spans="2:4">
      <c r="B113" s="6"/>
      <c r="C113" s="6"/>
      <c r="D113" s="6"/>
    </row>
    <row r="114" spans="2:4">
      <c r="B114" s="6"/>
      <c r="C114" s="6"/>
      <c r="D114" s="6"/>
    </row>
    <row r="115" spans="2:4">
      <c r="B115" s="6"/>
      <c r="C115" s="6"/>
      <c r="D115" s="6"/>
    </row>
    <row r="116" spans="2:4">
      <c r="B116" s="6"/>
      <c r="C116" s="6"/>
      <c r="D116" s="6"/>
    </row>
    <row r="117" spans="2:4">
      <c r="B117" s="6"/>
      <c r="C117" s="6"/>
      <c r="D117" s="6"/>
    </row>
    <row r="118" spans="2:4">
      <c r="B118" s="6"/>
      <c r="C118" s="6"/>
      <c r="D118" s="6"/>
    </row>
    <row r="119" spans="2:4">
      <c r="B119" s="6"/>
      <c r="C119" s="6"/>
      <c r="D119" s="6"/>
    </row>
    <row r="120" spans="2:4">
      <c r="B120" s="6"/>
      <c r="C120" s="6"/>
      <c r="D120" s="6"/>
    </row>
    <row r="121" spans="2:4">
      <c r="B121" s="6"/>
      <c r="C121" s="6"/>
      <c r="D121" s="6"/>
    </row>
    <row r="122" spans="2:4">
      <c r="B122" s="6"/>
      <c r="C122" s="6"/>
      <c r="D122" s="6"/>
    </row>
    <row r="123" spans="2:4">
      <c r="B123" s="6"/>
      <c r="C123" s="6"/>
      <c r="D123" s="6"/>
    </row>
    <row r="124" spans="2:4">
      <c r="B124" s="6"/>
      <c r="C124" s="6"/>
      <c r="D124" s="6"/>
    </row>
    <row r="125" spans="2:4">
      <c r="B125" s="6"/>
      <c r="C125" s="6"/>
      <c r="D125" s="6"/>
    </row>
    <row r="126" spans="2:4">
      <c r="B126" s="6"/>
      <c r="C126" s="6"/>
      <c r="D126" s="6"/>
    </row>
    <row r="127" spans="2:4">
      <c r="B127" s="6"/>
      <c r="C127" s="6"/>
      <c r="D127" s="6"/>
    </row>
    <row r="128" spans="2:4">
      <c r="B128" s="6"/>
      <c r="C128" s="6"/>
      <c r="D128" s="6"/>
    </row>
    <row r="129" spans="2:4">
      <c r="B129" s="6"/>
      <c r="C129" s="6"/>
      <c r="D129" s="6"/>
    </row>
    <row r="130" spans="2:4">
      <c r="B130" s="6"/>
      <c r="C130" s="6"/>
      <c r="D130" s="6"/>
    </row>
    <row r="131" spans="2:4">
      <c r="B131" s="6"/>
      <c r="C131" s="6"/>
      <c r="D131" s="6"/>
    </row>
    <row r="132" spans="2:4">
      <c r="B132" s="6"/>
      <c r="C132" s="6"/>
      <c r="D132" s="6"/>
    </row>
    <row r="133" spans="2:4">
      <c r="B133" s="6"/>
      <c r="C133" s="6"/>
      <c r="D133" s="6"/>
    </row>
    <row r="134" spans="2:4">
      <c r="B134" s="6"/>
      <c r="C134" s="6"/>
      <c r="D134" s="6"/>
    </row>
    <row r="135" spans="2:4">
      <c r="B135" s="6"/>
      <c r="C135" s="6"/>
      <c r="D135" s="6"/>
    </row>
    <row r="136" spans="2:4">
      <c r="B136" s="6"/>
      <c r="C136" s="6"/>
      <c r="D136" s="6"/>
    </row>
    <row r="137" spans="2:4">
      <c r="B137" s="6"/>
      <c r="C137" s="6"/>
      <c r="D137" s="6"/>
    </row>
    <row r="138" spans="2:4">
      <c r="B138" s="6"/>
      <c r="C138" s="6"/>
      <c r="D138" s="6"/>
    </row>
    <row r="139" spans="2:4">
      <c r="B139" s="6"/>
      <c r="C139" s="6"/>
      <c r="D139" s="6"/>
    </row>
    <row r="140" spans="2:4">
      <c r="B140" s="6"/>
      <c r="C140" s="6"/>
      <c r="D140" s="6"/>
    </row>
    <row r="141" spans="2:4">
      <c r="B141" s="6"/>
      <c r="C141" s="6"/>
      <c r="D141" s="6"/>
    </row>
    <row r="142" spans="2:4">
      <c r="B142" s="6"/>
      <c r="C142" s="6"/>
      <c r="D142" s="6"/>
    </row>
    <row r="143" spans="2:4">
      <c r="B143" s="6"/>
      <c r="C143" s="6"/>
      <c r="D143" s="6"/>
    </row>
    <row r="144" spans="2:4">
      <c r="B144" s="6"/>
      <c r="C144" s="6"/>
      <c r="D144" s="6"/>
    </row>
    <row r="145" spans="2:4">
      <c r="B145" s="6"/>
      <c r="C145" s="6"/>
      <c r="D145" s="6"/>
    </row>
  </sheetData>
  <mergeCells count="14">
    <mergeCell ref="G17:G18"/>
    <mergeCell ref="E17:E18"/>
    <mergeCell ref="B11:B13"/>
    <mergeCell ref="A2:G2"/>
    <mergeCell ref="A4:A5"/>
    <mergeCell ref="A9:A10"/>
    <mergeCell ref="A11:A13"/>
    <mergeCell ref="A17:A18"/>
    <mergeCell ref="A19:C19"/>
    <mergeCell ref="B1:E1"/>
    <mergeCell ref="B9:B10"/>
    <mergeCell ref="B4:B5"/>
    <mergeCell ref="B17:B18"/>
    <mergeCell ref="C17:C18"/>
  </mergeCells>
  <printOptions horizontalCentered="1"/>
  <pageMargins left="0.55118110236220474" right="0.51181102362204722" top="0.78740157480314965" bottom="0.34" header="0.51181102362204722" footer="0.25"/>
  <pageSetup paperSize="9" scale="85" orientation="landscape" r:id="rId1"/>
  <headerFooter alignWithMargins="0"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F23"/>
  <sheetViews>
    <sheetView view="pageBreakPreview" zoomScaleNormal="100" zoomScaleSheetLayoutView="100" workbookViewId="0">
      <selection activeCell="E1" sqref="E1:F1"/>
    </sheetView>
  </sheetViews>
  <sheetFormatPr defaultRowHeight="12.75"/>
  <cols>
    <col min="1" max="1" width="10.7109375" style="1" customWidth="1"/>
    <col min="2" max="2" width="10.5703125" style="1" customWidth="1"/>
    <col min="3" max="3" width="12.140625" style="1" customWidth="1"/>
    <col min="4" max="4" width="15.85546875" style="1" customWidth="1"/>
    <col min="5" max="5" width="19" style="1" customWidth="1"/>
    <col min="6" max="6" width="58" style="1" customWidth="1"/>
    <col min="7" max="256" width="9.140625" style="1"/>
    <col min="257" max="257" width="10.7109375" style="1" customWidth="1"/>
    <col min="258" max="258" width="10.5703125" style="1" customWidth="1"/>
    <col min="259" max="259" width="10.28515625" style="1" customWidth="1"/>
    <col min="260" max="260" width="13.28515625" style="1" customWidth="1"/>
    <col min="261" max="261" width="13.42578125" style="1" customWidth="1"/>
    <col min="262" max="262" width="54.42578125" style="1" customWidth="1"/>
    <col min="263" max="512" width="9.140625" style="1"/>
    <col min="513" max="513" width="10.7109375" style="1" customWidth="1"/>
    <col min="514" max="514" width="10.5703125" style="1" customWidth="1"/>
    <col min="515" max="515" width="10.28515625" style="1" customWidth="1"/>
    <col min="516" max="516" width="13.28515625" style="1" customWidth="1"/>
    <col min="517" max="517" width="13.42578125" style="1" customWidth="1"/>
    <col min="518" max="518" width="54.42578125" style="1" customWidth="1"/>
    <col min="519" max="768" width="9.140625" style="1"/>
    <col min="769" max="769" width="10.7109375" style="1" customWidth="1"/>
    <col min="770" max="770" width="10.5703125" style="1" customWidth="1"/>
    <col min="771" max="771" width="10.28515625" style="1" customWidth="1"/>
    <col min="772" max="772" width="13.28515625" style="1" customWidth="1"/>
    <col min="773" max="773" width="13.42578125" style="1" customWidth="1"/>
    <col min="774" max="774" width="54.42578125" style="1" customWidth="1"/>
    <col min="775" max="1024" width="9.140625" style="1"/>
    <col min="1025" max="1025" width="10.7109375" style="1" customWidth="1"/>
    <col min="1026" max="1026" width="10.5703125" style="1" customWidth="1"/>
    <col min="1027" max="1027" width="10.28515625" style="1" customWidth="1"/>
    <col min="1028" max="1028" width="13.28515625" style="1" customWidth="1"/>
    <col min="1029" max="1029" width="13.42578125" style="1" customWidth="1"/>
    <col min="1030" max="1030" width="54.42578125" style="1" customWidth="1"/>
    <col min="1031" max="1280" width="9.140625" style="1"/>
    <col min="1281" max="1281" width="10.7109375" style="1" customWidth="1"/>
    <col min="1282" max="1282" width="10.5703125" style="1" customWidth="1"/>
    <col min="1283" max="1283" width="10.28515625" style="1" customWidth="1"/>
    <col min="1284" max="1284" width="13.28515625" style="1" customWidth="1"/>
    <col min="1285" max="1285" width="13.42578125" style="1" customWidth="1"/>
    <col min="1286" max="1286" width="54.42578125" style="1" customWidth="1"/>
    <col min="1287" max="1536" width="9.140625" style="1"/>
    <col min="1537" max="1537" width="10.7109375" style="1" customWidth="1"/>
    <col min="1538" max="1538" width="10.5703125" style="1" customWidth="1"/>
    <col min="1539" max="1539" width="10.28515625" style="1" customWidth="1"/>
    <col min="1540" max="1540" width="13.28515625" style="1" customWidth="1"/>
    <col min="1541" max="1541" width="13.42578125" style="1" customWidth="1"/>
    <col min="1542" max="1542" width="54.42578125" style="1" customWidth="1"/>
    <col min="1543" max="1792" width="9.140625" style="1"/>
    <col min="1793" max="1793" width="10.7109375" style="1" customWidth="1"/>
    <col min="1794" max="1794" width="10.5703125" style="1" customWidth="1"/>
    <col min="1795" max="1795" width="10.28515625" style="1" customWidth="1"/>
    <col min="1796" max="1796" width="13.28515625" style="1" customWidth="1"/>
    <col min="1797" max="1797" width="13.42578125" style="1" customWidth="1"/>
    <col min="1798" max="1798" width="54.42578125" style="1" customWidth="1"/>
    <col min="1799" max="2048" width="9.140625" style="1"/>
    <col min="2049" max="2049" width="10.7109375" style="1" customWidth="1"/>
    <col min="2050" max="2050" width="10.5703125" style="1" customWidth="1"/>
    <col min="2051" max="2051" width="10.28515625" style="1" customWidth="1"/>
    <col min="2052" max="2052" width="13.28515625" style="1" customWidth="1"/>
    <col min="2053" max="2053" width="13.42578125" style="1" customWidth="1"/>
    <col min="2054" max="2054" width="54.42578125" style="1" customWidth="1"/>
    <col min="2055" max="2304" width="9.140625" style="1"/>
    <col min="2305" max="2305" width="10.7109375" style="1" customWidth="1"/>
    <col min="2306" max="2306" width="10.5703125" style="1" customWidth="1"/>
    <col min="2307" max="2307" width="10.28515625" style="1" customWidth="1"/>
    <col min="2308" max="2308" width="13.28515625" style="1" customWidth="1"/>
    <col min="2309" max="2309" width="13.42578125" style="1" customWidth="1"/>
    <col min="2310" max="2310" width="54.42578125" style="1" customWidth="1"/>
    <col min="2311" max="2560" width="9.140625" style="1"/>
    <col min="2561" max="2561" width="10.7109375" style="1" customWidth="1"/>
    <col min="2562" max="2562" width="10.5703125" style="1" customWidth="1"/>
    <col min="2563" max="2563" width="10.28515625" style="1" customWidth="1"/>
    <col min="2564" max="2564" width="13.28515625" style="1" customWidth="1"/>
    <col min="2565" max="2565" width="13.42578125" style="1" customWidth="1"/>
    <col min="2566" max="2566" width="54.42578125" style="1" customWidth="1"/>
    <col min="2567" max="2816" width="9.140625" style="1"/>
    <col min="2817" max="2817" width="10.7109375" style="1" customWidth="1"/>
    <col min="2818" max="2818" width="10.5703125" style="1" customWidth="1"/>
    <col min="2819" max="2819" width="10.28515625" style="1" customWidth="1"/>
    <col min="2820" max="2820" width="13.28515625" style="1" customWidth="1"/>
    <col min="2821" max="2821" width="13.42578125" style="1" customWidth="1"/>
    <col min="2822" max="2822" width="54.42578125" style="1" customWidth="1"/>
    <col min="2823" max="3072" width="9.140625" style="1"/>
    <col min="3073" max="3073" width="10.7109375" style="1" customWidth="1"/>
    <col min="3074" max="3074" width="10.5703125" style="1" customWidth="1"/>
    <col min="3075" max="3075" width="10.28515625" style="1" customWidth="1"/>
    <col min="3076" max="3076" width="13.28515625" style="1" customWidth="1"/>
    <col min="3077" max="3077" width="13.42578125" style="1" customWidth="1"/>
    <col min="3078" max="3078" width="54.42578125" style="1" customWidth="1"/>
    <col min="3079" max="3328" width="9.140625" style="1"/>
    <col min="3329" max="3329" width="10.7109375" style="1" customWidth="1"/>
    <col min="3330" max="3330" width="10.5703125" style="1" customWidth="1"/>
    <col min="3331" max="3331" width="10.28515625" style="1" customWidth="1"/>
    <col min="3332" max="3332" width="13.28515625" style="1" customWidth="1"/>
    <col min="3333" max="3333" width="13.42578125" style="1" customWidth="1"/>
    <col min="3334" max="3334" width="54.42578125" style="1" customWidth="1"/>
    <col min="3335" max="3584" width="9.140625" style="1"/>
    <col min="3585" max="3585" width="10.7109375" style="1" customWidth="1"/>
    <col min="3586" max="3586" width="10.5703125" style="1" customWidth="1"/>
    <col min="3587" max="3587" width="10.28515625" style="1" customWidth="1"/>
    <col min="3588" max="3588" width="13.28515625" style="1" customWidth="1"/>
    <col min="3589" max="3589" width="13.42578125" style="1" customWidth="1"/>
    <col min="3590" max="3590" width="54.42578125" style="1" customWidth="1"/>
    <col min="3591" max="3840" width="9.140625" style="1"/>
    <col min="3841" max="3841" width="10.7109375" style="1" customWidth="1"/>
    <col min="3842" max="3842" width="10.5703125" style="1" customWidth="1"/>
    <col min="3843" max="3843" width="10.28515625" style="1" customWidth="1"/>
    <col min="3844" max="3844" width="13.28515625" style="1" customWidth="1"/>
    <col min="3845" max="3845" width="13.42578125" style="1" customWidth="1"/>
    <col min="3846" max="3846" width="54.42578125" style="1" customWidth="1"/>
    <col min="3847" max="4096" width="9.140625" style="1"/>
    <col min="4097" max="4097" width="10.7109375" style="1" customWidth="1"/>
    <col min="4098" max="4098" width="10.5703125" style="1" customWidth="1"/>
    <col min="4099" max="4099" width="10.28515625" style="1" customWidth="1"/>
    <col min="4100" max="4100" width="13.28515625" style="1" customWidth="1"/>
    <col min="4101" max="4101" width="13.42578125" style="1" customWidth="1"/>
    <col min="4102" max="4102" width="54.42578125" style="1" customWidth="1"/>
    <col min="4103" max="4352" width="9.140625" style="1"/>
    <col min="4353" max="4353" width="10.7109375" style="1" customWidth="1"/>
    <col min="4354" max="4354" width="10.5703125" style="1" customWidth="1"/>
    <col min="4355" max="4355" width="10.28515625" style="1" customWidth="1"/>
    <col min="4356" max="4356" width="13.28515625" style="1" customWidth="1"/>
    <col min="4357" max="4357" width="13.42578125" style="1" customWidth="1"/>
    <col min="4358" max="4358" width="54.42578125" style="1" customWidth="1"/>
    <col min="4359" max="4608" width="9.140625" style="1"/>
    <col min="4609" max="4609" width="10.7109375" style="1" customWidth="1"/>
    <col min="4610" max="4610" width="10.5703125" style="1" customWidth="1"/>
    <col min="4611" max="4611" width="10.28515625" style="1" customWidth="1"/>
    <col min="4612" max="4612" width="13.28515625" style="1" customWidth="1"/>
    <col min="4613" max="4613" width="13.42578125" style="1" customWidth="1"/>
    <col min="4614" max="4614" width="54.42578125" style="1" customWidth="1"/>
    <col min="4615" max="4864" width="9.140625" style="1"/>
    <col min="4865" max="4865" width="10.7109375" style="1" customWidth="1"/>
    <col min="4866" max="4866" width="10.5703125" style="1" customWidth="1"/>
    <col min="4867" max="4867" width="10.28515625" style="1" customWidth="1"/>
    <col min="4868" max="4868" width="13.28515625" style="1" customWidth="1"/>
    <col min="4869" max="4869" width="13.42578125" style="1" customWidth="1"/>
    <col min="4870" max="4870" width="54.42578125" style="1" customWidth="1"/>
    <col min="4871" max="5120" width="9.140625" style="1"/>
    <col min="5121" max="5121" width="10.7109375" style="1" customWidth="1"/>
    <col min="5122" max="5122" width="10.5703125" style="1" customWidth="1"/>
    <col min="5123" max="5123" width="10.28515625" style="1" customWidth="1"/>
    <col min="5124" max="5124" width="13.28515625" style="1" customWidth="1"/>
    <col min="5125" max="5125" width="13.42578125" style="1" customWidth="1"/>
    <col min="5126" max="5126" width="54.42578125" style="1" customWidth="1"/>
    <col min="5127" max="5376" width="9.140625" style="1"/>
    <col min="5377" max="5377" width="10.7109375" style="1" customWidth="1"/>
    <col min="5378" max="5378" width="10.5703125" style="1" customWidth="1"/>
    <col min="5379" max="5379" width="10.28515625" style="1" customWidth="1"/>
    <col min="5380" max="5380" width="13.28515625" style="1" customWidth="1"/>
    <col min="5381" max="5381" width="13.42578125" style="1" customWidth="1"/>
    <col min="5382" max="5382" width="54.42578125" style="1" customWidth="1"/>
    <col min="5383" max="5632" width="9.140625" style="1"/>
    <col min="5633" max="5633" width="10.7109375" style="1" customWidth="1"/>
    <col min="5634" max="5634" width="10.5703125" style="1" customWidth="1"/>
    <col min="5635" max="5635" width="10.28515625" style="1" customWidth="1"/>
    <col min="5636" max="5636" width="13.28515625" style="1" customWidth="1"/>
    <col min="5637" max="5637" width="13.42578125" style="1" customWidth="1"/>
    <col min="5638" max="5638" width="54.42578125" style="1" customWidth="1"/>
    <col min="5639" max="5888" width="9.140625" style="1"/>
    <col min="5889" max="5889" width="10.7109375" style="1" customWidth="1"/>
    <col min="5890" max="5890" width="10.5703125" style="1" customWidth="1"/>
    <col min="5891" max="5891" width="10.28515625" style="1" customWidth="1"/>
    <col min="5892" max="5892" width="13.28515625" style="1" customWidth="1"/>
    <col min="5893" max="5893" width="13.42578125" style="1" customWidth="1"/>
    <col min="5894" max="5894" width="54.42578125" style="1" customWidth="1"/>
    <col min="5895" max="6144" width="9.140625" style="1"/>
    <col min="6145" max="6145" width="10.7109375" style="1" customWidth="1"/>
    <col min="6146" max="6146" width="10.5703125" style="1" customWidth="1"/>
    <col min="6147" max="6147" width="10.28515625" style="1" customWidth="1"/>
    <col min="6148" max="6148" width="13.28515625" style="1" customWidth="1"/>
    <col min="6149" max="6149" width="13.42578125" style="1" customWidth="1"/>
    <col min="6150" max="6150" width="54.42578125" style="1" customWidth="1"/>
    <col min="6151" max="6400" width="9.140625" style="1"/>
    <col min="6401" max="6401" width="10.7109375" style="1" customWidth="1"/>
    <col min="6402" max="6402" width="10.5703125" style="1" customWidth="1"/>
    <col min="6403" max="6403" width="10.28515625" style="1" customWidth="1"/>
    <col min="6404" max="6404" width="13.28515625" style="1" customWidth="1"/>
    <col min="6405" max="6405" width="13.42578125" style="1" customWidth="1"/>
    <col min="6406" max="6406" width="54.42578125" style="1" customWidth="1"/>
    <col min="6407" max="6656" width="9.140625" style="1"/>
    <col min="6657" max="6657" width="10.7109375" style="1" customWidth="1"/>
    <col min="6658" max="6658" width="10.5703125" style="1" customWidth="1"/>
    <col min="6659" max="6659" width="10.28515625" style="1" customWidth="1"/>
    <col min="6660" max="6660" width="13.28515625" style="1" customWidth="1"/>
    <col min="6661" max="6661" width="13.42578125" style="1" customWidth="1"/>
    <col min="6662" max="6662" width="54.42578125" style="1" customWidth="1"/>
    <col min="6663" max="6912" width="9.140625" style="1"/>
    <col min="6913" max="6913" width="10.7109375" style="1" customWidth="1"/>
    <col min="6914" max="6914" width="10.5703125" style="1" customWidth="1"/>
    <col min="6915" max="6915" width="10.28515625" style="1" customWidth="1"/>
    <col min="6916" max="6916" width="13.28515625" style="1" customWidth="1"/>
    <col min="6917" max="6917" width="13.42578125" style="1" customWidth="1"/>
    <col min="6918" max="6918" width="54.42578125" style="1" customWidth="1"/>
    <col min="6919" max="7168" width="9.140625" style="1"/>
    <col min="7169" max="7169" width="10.7109375" style="1" customWidth="1"/>
    <col min="7170" max="7170" width="10.5703125" style="1" customWidth="1"/>
    <col min="7171" max="7171" width="10.28515625" style="1" customWidth="1"/>
    <col min="7172" max="7172" width="13.28515625" style="1" customWidth="1"/>
    <col min="7173" max="7173" width="13.42578125" style="1" customWidth="1"/>
    <col min="7174" max="7174" width="54.42578125" style="1" customWidth="1"/>
    <col min="7175" max="7424" width="9.140625" style="1"/>
    <col min="7425" max="7425" width="10.7109375" style="1" customWidth="1"/>
    <col min="7426" max="7426" width="10.5703125" style="1" customWidth="1"/>
    <col min="7427" max="7427" width="10.28515625" style="1" customWidth="1"/>
    <col min="7428" max="7428" width="13.28515625" style="1" customWidth="1"/>
    <col min="7429" max="7429" width="13.42578125" style="1" customWidth="1"/>
    <col min="7430" max="7430" width="54.42578125" style="1" customWidth="1"/>
    <col min="7431" max="7680" width="9.140625" style="1"/>
    <col min="7681" max="7681" width="10.7109375" style="1" customWidth="1"/>
    <col min="7682" max="7682" width="10.5703125" style="1" customWidth="1"/>
    <col min="7683" max="7683" width="10.28515625" style="1" customWidth="1"/>
    <col min="7684" max="7684" width="13.28515625" style="1" customWidth="1"/>
    <col min="7685" max="7685" width="13.42578125" style="1" customWidth="1"/>
    <col min="7686" max="7686" width="54.42578125" style="1" customWidth="1"/>
    <col min="7687" max="7936" width="9.140625" style="1"/>
    <col min="7937" max="7937" width="10.7109375" style="1" customWidth="1"/>
    <col min="7938" max="7938" width="10.5703125" style="1" customWidth="1"/>
    <col min="7939" max="7939" width="10.28515625" style="1" customWidth="1"/>
    <col min="7940" max="7940" width="13.28515625" style="1" customWidth="1"/>
    <col min="7941" max="7941" width="13.42578125" style="1" customWidth="1"/>
    <col min="7942" max="7942" width="54.42578125" style="1" customWidth="1"/>
    <col min="7943" max="8192" width="9.140625" style="1"/>
    <col min="8193" max="8193" width="10.7109375" style="1" customWidth="1"/>
    <col min="8194" max="8194" width="10.5703125" style="1" customWidth="1"/>
    <col min="8195" max="8195" width="10.28515625" style="1" customWidth="1"/>
    <col min="8196" max="8196" width="13.28515625" style="1" customWidth="1"/>
    <col min="8197" max="8197" width="13.42578125" style="1" customWidth="1"/>
    <col min="8198" max="8198" width="54.42578125" style="1" customWidth="1"/>
    <col min="8199" max="8448" width="9.140625" style="1"/>
    <col min="8449" max="8449" width="10.7109375" style="1" customWidth="1"/>
    <col min="8450" max="8450" width="10.5703125" style="1" customWidth="1"/>
    <col min="8451" max="8451" width="10.28515625" style="1" customWidth="1"/>
    <col min="8452" max="8452" width="13.28515625" style="1" customWidth="1"/>
    <col min="8453" max="8453" width="13.42578125" style="1" customWidth="1"/>
    <col min="8454" max="8454" width="54.42578125" style="1" customWidth="1"/>
    <col min="8455" max="8704" width="9.140625" style="1"/>
    <col min="8705" max="8705" width="10.7109375" style="1" customWidth="1"/>
    <col min="8706" max="8706" width="10.5703125" style="1" customWidth="1"/>
    <col min="8707" max="8707" width="10.28515625" style="1" customWidth="1"/>
    <col min="8708" max="8708" width="13.28515625" style="1" customWidth="1"/>
    <col min="8709" max="8709" width="13.42578125" style="1" customWidth="1"/>
    <col min="8710" max="8710" width="54.42578125" style="1" customWidth="1"/>
    <col min="8711" max="8960" width="9.140625" style="1"/>
    <col min="8961" max="8961" width="10.7109375" style="1" customWidth="1"/>
    <col min="8962" max="8962" width="10.5703125" style="1" customWidth="1"/>
    <col min="8963" max="8963" width="10.28515625" style="1" customWidth="1"/>
    <col min="8964" max="8964" width="13.28515625" style="1" customWidth="1"/>
    <col min="8965" max="8965" width="13.42578125" style="1" customWidth="1"/>
    <col min="8966" max="8966" width="54.42578125" style="1" customWidth="1"/>
    <col min="8967" max="9216" width="9.140625" style="1"/>
    <col min="9217" max="9217" width="10.7109375" style="1" customWidth="1"/>
    <col min="9218" max="9218" width="10.5703125" style="1" customWidth="1"/>
    <col min="9219" max="9219" width="10.28515625" style="1" customWidth="1"/>
    <col min="9220" max="9220" width="13.28515625" style="1" customWidth="1"/>
    <col min="9221" max="9221" width="13.42578125" style="1" customWidth="1"/>
    <col min="9222" max="9222" width="54.42578125" style="1" customWidth="1"/>
    <col min="9223" max="9472" width="9.140625" style="1"/>
    <col min="9473" max="9473" width="10.7109375" style="1" customWidth="1"/>
    <col min="9474" max="9474" width="10.5703125" style="1" customWidth="1"/>
    <col min="9475" max="9475" width="10.28515625" style="1" customWidth="1"/>
    <col min="9476" max="9476" width="13.28515625" style="1" customWidth="1"/>
    <col min="9477" max="9477" width="13.42578125" style="1" customWidth="1"/>
    <col min="9478" max="9478" width="54.42578125" style="1" customWidth="1"/>
    <col min="9479" max="9728" width="9.140625" style="1"/>
    <col min="9729" max="9729" width="10.7109375" style="1" customWidth="1"/>
    <col min="9730" max="9730" width="10.5703125" style="1" customWidth="1"/>
    <col min="9731" max="9731" width="10.28515625" style="1" customWidth="1"/>
    <col min="9732" max="9732" width="13.28515625" style="1" customWidth="1"/>
    <col min="9733" max="9733" width="13.42578125" style="1" customWidth="1"/>
    <col min="9734" max="9734" width="54.42578125" style="1" customWidth="1"/>
    <col min="9735" max="9984" width="9.140625" style="1"/>
    <col min="9985" max="9985" width="10.7109375" style="1" customWidth="1"/>
    <col min="9986" max="9986" width="10.5703125" style="1" customWidth="1"/>
    <col min="9987" max="9987" width="10.28515625" style="1" customWidth="1"/>
    <col min="9988" max="9988" width="13.28515625" style="1" customWidth="1"/>
    <col min="9989" max="9989" width="13.42578125" style="1" customWidth="1"/>
    <col min="9990" max="9990" width="54.42578125" style="1" customWidth="1"/>
    <col min="9991" max="10240" width="9.140625" style="1"/>
    <col min="10241" max="10241" width="10.7109375" style="1" customWidth="1"/>
    <col min="10242" max="10242" width="10.5703125" style="1" customWidth="1"/>
    <col min="10243" max="10243" width="10.28515625" style="1" customWidth="1"/>
    <col min="10244" max="10244" width="13.28515625" style="1" customWidth="1"/>
    <col min="10245" max="10245" width="13.42578125" style="1" customWidth="1"/>
    <col min="10246" max="10246" width="54.42578125" style="1" customWidth="1"/>
    <col min="10247" max="10496" width="9.140625" style="1"/>
    <col min="10497" max="10497" width="10.7109375" style="1" customWidth="1"/>
    <col min="10498" max="10498" width="10.5703125" style="1" customWidth="1"/>
    <col min="10499" max="10499" width="10.28515625" style="1" customWidth="1"/>
    <col min="10500" max="10500" width="13.28515625" style="1" customWidth="1"/>
    <col min="10501" max="10501" width="13.42578125" style="1" customWidth="1"/>
    <col min="10502" max="10502" width="54.42578125" style="1" customWidth="1"/>
    <col min="10503" max="10752" width="9.140625" style="1"/>
    <col min="10753" max="10753" width="10.7109375" style="1" customWidth="1"/>
    <col min="10754" max="10754" width="10.5703125" style="1" customWidth="1"/>
    <col min="10755" max="10755" width="10.28515625" style="1" customWidth="1"/>
    <col min="10756" max="10756" width="13.28515625" style="1" customWidth="1"/>
    <col min="10757" max="10757" width="13.42578125" style="1" customWidth="1"/>
    <col min="10758" max="10758" width="54.42578125" style="1" customWidth="1"/>
    <col min="10759" max="11008" width="9.140625" style="1"/>
    <col min="11009" max="11009" width="10.7109375" style="1" customWidth="1"/>
    <col min="11010" max="11010" width="10.5703125" style="1" customWidth="1"/>
    <col min="11011" max="11011" width="10.28515625" style="1" customWidth="1"/>
    <col min="11012" max="11012" width="13.28515625" style="1" customWidth="1"/>
    <col min="11013" max="11013" width="13.42578125" style="1" customWidth="1"/>
    <col min="11014" max="11014" width="54.42578125" style="1" customWidth="1"/>
    <col min="11015" max="11264" width="9.140625" style="1"/>
    <col min="11265" max="11265" width="10.7109375" style="1" customWidth="1"/>
    <col min="11266" max="11266" width="10.5703125" style="1" customWidth="1"/>
    <col min="11267" max="11267" width="10.28515625" style="1" customWidth="1"/>
    <col min="11268" max="11268" width="13.28515625" style="1" customWidth="1"/>
    <col min="11269" max="11269" width="13.42578125" style="1" customWidth="1"/>
    <col min="11270" max="11270" width="54.42578125" style="1" customWidth="1"/>
    <col min="11271" max="11520" width="9.140625" style="1"/>
    <col min="11521" max="11521" width="10.7109375" style="1" customWidth="1"/>
    <col min="11522" max="11522" width="10.5703125" style="1" customWidth="1"/>
    <col min="11523" max="11523" width="10.28515625" style="1" customWidth="1"/>
    <col min="11524" max="11524" width="13.28515625" style="1" customWidth="1"/>
    <col min="11525" max="11525" width="13.42578125" style="1" customWidth="1"/>
    <col min="11526" max="11526" width="54.42578125" style="1" customWidth="1"/>
    <col min="11527" max="11776" width="9.140625" style="1"/>
    <col min="11777" max="11777" width="10.7109375" style="1" customWidth="1"/>
    <col min="11778" max="11778" width="10.5703125" style="1" customWidth="1"/>
    <col min="11779" max="11779" width="10.28515625" style="1" customWidth="1"/>
    <col min="11780" max="11780" width="13.28515625" style="1" customWidth="1"/>
    <col min="11781" max="11781" width="13.42578125" style="1" customWidth="1"/>
    <col min="11782" max="11782" width="54.42578125" style="1" customWidth="1"/>
    <col min="11783" max="12032" width="9.140625" style="1"/>
    <col min="12033" max="12033" width="10.7109375" style="1" customWidth="1"/>
    <col min="12034" max="12034" width="10.5703125" style="1" customWidth="1"/>
    <col min="12035" max="12035" width="10.28515625" style="1" customWidth="1"/>
    <col min="12036" max="12036" width="13.28515625" style="1" customWidth="1"/>
    <col min="12037" max="12037" width="13.42578125" style="1" customWidth="1"/>
    <col min="12038" max="12038" width="54.42578125" style="1" customWidth="1"/>
    <col min="12039" max="12288" width="9.140625" style="1"/>
    <col min="12289" max="12289" width="10.7109375" style="1" customWidth="1"/>
    <col min="12290" max="12290" width="10.5703125" style="1" customWidth="1"/>
    <col min="12291" max="12291" width="10.28515625" style="1" customWidth="1"/>
    <col min="12292" max="12292" width="13.28515625" style="1" customWidth="1"/>
    <col min="12293" max="12293" width="13.42578125" style="1" customWidth="1"/>
    <col min="12294" max="12294" width="54.42578125" style="1" customWidth="1"/>
    <col min="12295" max="12544" width="9.140625" style="1"/>
    <col min="12545" max="12545" width="10.7109375" style="1" customWidth="1"/>
    <col min="12546" max="12546" width="10.5703125" style="1" customWidth="1"/>
    <col min="12547" max="12547" width="10.28515625" style="1" customWidth="1"/>
    <col min="12548" max="12548" width="13.28515625" style="1" customWidth="1"/>
    <col min="12549" max="12549" width="13.42578125" style="1" customWidth="1"/>
    <col min="12550" max="12550" width="54.42578125" style="1" customWidth="1"/>
    <col min="12551" max="12800" width="9.140625" style="1"/>
    <col min="12801" max="12801" width="10.7109375" style="1" customWidth="1"/>
    <col min="12802" max="12802" width="10.5703125" style="1" customWidth="1"/>
    <col min="12803" max="12803" width="10.28515625" style="1" customWidth="1"/>
    <col min="12804" max="12804" width="13.28515625" style="1" customWidth="1"/>
    <col min="12805" max="12805" width="13.42578125" style="1" customWidth="1"/>
    <col min="12806" max="12806" width="54.42578125" style="1" customWidth="1"/>
    <col min="12807" max="13056" width="9.140625" style="1"/>
    <col min="13057" max="13057" width="10.7109375" style="1" customWidth="1"/>
    <col min="13058" max="13058" width="10.5703125" style="1" customWidth="1"/>
    <col min="13059" max="13059" width="10.28515625" style="1" customWidth="1"/>
    <col min="13060" max="13060" width="13.28515625" style="1" customWidth="1"/>
    <col min="13061" max="13061" width="13.42578125" style="1" customWidth="1"/>
    <col min="13062" max="13062" width="54.42578125" style="1" customWidth="1"/>
    <col min="13063" max="13312" width="9.140625" style="1"/>
    <col min="13313" max="13313" width="10.7109375" style="1" customWidth="1"/>
    <col min="13314" max="13314" width="10.5703125" style="1" customWidth="1"/>
    <col min="13315" max="13315" width="10.28515625" style="1" customWidth="1"/>
    <col min="13316" max="13316" width="13.28515625" style="1" customWidth="1"/>
    <col min="13317" max="13317" width="13.42578125" style="1" customWidth="1"/>
    <col min="13318" max="13318" width="54.42578125" style="1" customWidth="1"/>
    <col min="13319" max="13568" width="9.140625" style="1"/>
    <col min="13569" max="13569" width="10.7109375" style="1" customWidth="1"/>
    <col min="13570" max="13570" width="10.5703125" style="1" customWidth="1"/>
    <col min="13571" max="13571" width="10.28515625" style="1" customWidth="1"/>
    <col min="13572" max="13572" width="13.28515625" style="1" customWidth="1"/>
    <col min="13573" max="13573" width="13.42578125" style="1" customWidth="1"/>
    <col min="13574" max="13574" width="54.42578125" style="1" customWidth="1"/>
    <col min="13575" max="13824" width="9.140625" style="1"/>
    <col min="13825" max="13825" width="10.7109375" style="1" customWidth="1"/>
    <col min="13826" max="13826" width="10.5703125" style="1" customWidth="1"/>
    <col min="13827" max="13827" width="10.28515625" style="1" customWidth="1"/>
    <col min="13828" max="13828" width="13.28515625" style="1" customWidth="1"/>
    <col min="13829" max="13829" width="13.42578125" style="1" customWidth="1"/>
    <col min="13830" max="13830" width="54.42578125" style="1" customWidth="1"/>
    <col min="13831" max="14080" width="9.140625" style="1"/>
    <col min="14081" max="14081" width="10.7109375" style="1" customWidth="1"/>
    <col min="14082" max="14082" width="10.5703125" style="1" customWidth="1"/>
    <col min="14083" max="14083" width="10.28515625" style="1" customWidth="1"/>
    <col min="14084" max="14084" width="13.28515625" style="1" customWidth="1"/>
    <col min="14085" max="14085" width="13.42578125" style="1" customWidth="1"/>
    <col min="14086" max="14086" width="54.42578125" style="1" customWidth="1"/>
    <col min="14087" max="14336" width="9.140625" style="1"/>
    <col min="14337" max="14337" width="10.7109375" style="1" customWidth="1"/>
    <col min="14338" max="14338" width="10.5703125" style="1" customWidth="1"/>
    <col min="14339" max="14339" width="10.28515625" style="1" customWidth="1"/>
    <col min="14340" max="14340" width="13.28515625" style="1" customWidth="1"/>
    <col min="14341" max="14341" width="13.42578125" style="1" customWidth="1"/>
    <col min="14342" max="14342" width="54.42578125" style="1" customWidth="1"/>
    <col min="14343" max="14592" width="9.140625" style="1"/>
    <col min="14593" max="14593" width="10.7109375" style="1" customWidth="1"/>
    <col min="14594" max="14594" width="10.5703125" style="1" customWidth="1"/>
    <col min="14595" max="14595" width="10.28515625" style="1" customWidth="1"/>
    <col min="14596" max="14596" width="13.28515625" style="1" customWidth="1"/>
    <col min="14597" max="14597" width="13.42578125" style="1" customWidth="1"/>
    <col min="14598" max="14598" width="54.42578125" style="1" customWidth="1"/>
    <col min="14599" max="14848" width="9.140625" style="1"/>
    <col min="14849" max="14849" width="10.7109375" style="1" customWidth="1"/>
    <col min="14850" max="14850" width="10.5703125" style="1" customWidth="1"/>
    <col min="14851" max="14851" width="10.28515625" style="1" customWidth="1"/>
    <col min="14852" max="14852" width="13.28515625" style="1" customWidth="1"/>
    <col min="14853" max="14853" width="13.42578125" style="1" customWidth="1"/>
    <col min="14854" max="14854" width="54.42578125" style="1" customWidth="1"/>
    <col min="14855" max="15104" width="9.140625" style="1"/>
    <col min="15105" max="15105" width="10.7109375" style="1" customWidth="1"/>
    <col min="15106" max="15106" width="10.5703125" style="1" customWidth="1"/>
    <col min="15107" max="15107" width="10.28515625" style="1" customWidth="1"/>
    <col min="15108" max="15108" width="13.28515625" style="1" customWidth="1"/>
    <col min="15109" max="15109" width="13.42578125" style="1" customWidth="1"/>
    <col min="15110" max="15110" width="54.42578125" style="1" customWidth="1"/>
    <col min="15111" max="15360" width="9.140625" style="1"/>
    <col min="15361" max="15361" width="10.7109375" style="1" customWidth="1"/>
    <col min="15362" max="15362" width="10.5703125" style="1" customWidth="1"/>
    <col min="15363" max="15363" width="10.28515625" style="1" customWidth="1"/>
    <col min="15364" max="15364" width="13.28515625" style="1" customWidth="1"/>
    <col min="15365" max="15365" width="13.42578125" style="1" customWidth="1"/>
    <col min="15366" max="15366" width="54.42578125" style="1" customWidth="1"/>
    <col min="15367" max="15616" width="9.140625" style="1"/>
    <col min="15617" max="15617" width="10.7109375" style="1" customWidth="1"/>
    <col min="15618" max="15618" width="10.5703125" style="1" customWidth="1"/>
    <col min="15619" max="15619" width="10.28515625" style="1" customWidth="1"/>
    <col min="15620" max="15620" width="13.28515625" style="1" customWidth="1"/>
    <col min="15621" max="15621" width="13.42578125" style="1" customWidth="1"/>
    <col min="15622" max="15622" width="54.42578125" style="1" customWidth="1"/>
    <col min="15623" max="15872" width="9.140625" style="1"/>
    <col min="15873" max="15873" width="10.7109375" style="1" customWidth="1"/>
    <col min="15874" max="15874" width="10.5703125" style="1" customWidth="1"/>
    <col min="15875" max="15875" width="10.28515625" style="1" customWidth="1"/>
    <col min="15876" max="15876" width="13.28515625" style="1" customWidth="1"/>
    <col min="15877" max="15877" width="13.42578125" style="1" customWidth="1"/>
    <col min="15878" max="15878" width="54.42578125" style="1" customWidth="1"/>
    <col min="15879" max="16128" width="9.140625" style="1"/>
    <col min="16129" max="16129" width="10.7109375" style="1" customWidth="1"/>
    <col min="16130" max="16130" width="10.5703125" style="1" customWidth="1"/>
    <col min="16131" max="16131" width="10.28515625" style="1" customWidth="1"/>
    <col min="16132" max="16132" width="13.28515625" style="1" customWidth="1"/>
    <col min="16133" max="16133" width="13.42578125" style="1" customWidth="1"/>
    <col min="16134" max="16134" width="54.42578125" style="1" customWidth="1"/>
    <col min="16135" max="16384" width="9.140625" style="1"/>
  </cols>
  <sheetData>
    <row r="1" spans="1:6" ht="51" customHeight="1">
      <c r="A1" s="1655"/>
      <c r="B1" s="1655"/>
      <c r="C1" s="1655"/>
      <c r="D1" s="1656"/>
      <c r="E1" s="1552" t="s">
        <v>1064</v>
      </c>
      <c r="F1" s="1552"/>
    </row>
    <row r="2" spans="1:6" ht="45.75" customHeight="1">
      <c r="A2" s="1618" t="s">
        <v>112</v>
      </c>
      <c r="B2" s="1618"/>
      <c r="C2" s="1618"/>
      <c r="D2" s="1618"/>
      <c r="E2" s="1618"/>
      <c r="F2" s="1618"/>
    </row>
    <row r="3" spans="1:6" ht="13.5" thickBot="1">
      <c r="A3" s="134"/>
      <c r="B3" s="134"/>
      <c r="C3" s="134"/>
      <c r="D3" s="134"/>
      <c r="E3" s="62"/>
      <c r="F3" s="133" t="s">
        <v>95</v>
      </c>
    </row>
    <row r="4" spans="1:6" ht="53.25" customHeight="1" thickBot="1">
      <c r="A4" s="26" t="s">
        <v>0</v>
      </c>
      <c r="B4" s="26" t="s">
        <v>1</v>
      </c>
      <c r="C4" s="26" t="s">
        <v>8</v>
      </c>
      <c r="D4" s="132" t="s">
        <v>108</v>
      </c>
      <c r="E4" s="132" t="s">
        <v>111</v>
      </c>
      <c r="F4" s="26" t="s">
        <v>110</v>
      </c>
    </row>
    <row r="5" spans="1:6" ht="83.25" customHeight="1" thickBot="1">
      <c r="A5" s="138" t="s">
        <v>16</v>
      </c>
      <c r="B5" s="138" t="s">
        <v>17</v>
      </c>
      <c r="C5" s="137" t="s">
        <v>18</v>
      </c>
      <c r="D5" s="136">
        <v>57400000</v>
      </c>
      <c r="E5" s="136">
        <v>57400000</v>
      </c>
      <c r="F5" s="135" t="s">
        <v>1050</v>
      </c>
    </row>
    <row r="6" spans="1:6" ht="50.25" customHeight="1" thickBot="1">
      <c r="A6" s="1640" t="s">
        <v>97</v>
      </c>
      <c r="B6" s="1640"/>
      <c r="C6" s="95"/>
      <c r="D6" s="67">
        <f>SUM(D5:D5)</f>
        <v>57400000</v>
      </c>
      <c r="E6" s="67">
        <f>SUM(E5:E5)</f>
        <v>57400000</v>
      </c>
      <c r="F6" s="94"/>
    </row>
    <row r="23" spans="5:5">
      <c r="E23" s="310"/>
    </row>
  </sheetData>
  <mergeCells count="4">
    <mergeCell ref="A1:D1"/>
    <mergeCell ref="E1:F1"/>
    <mergeCell ref="A2:F2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2:I23"/>
  <sheetViews>
    <sheetView view="pageBreakPreview" zoomScaleNormal="100" zoomScaleSheetLayoutView="100" workbookViewId="0">
      <selection activeCell="H2" sqref="H2:I2"/>
    </sheetView>
  </sheetViews>
  <sheetFormatPr defaultRowHeight="12.75"/>
  <cols>
    <col min="1" max="1" width="7" style="1" customWidth="1"/>
    <col min="2" max="2" width="10.7109375" style="1" customWidth="1"/>
    <col min="3" max="3" width="15.7109375" style="1" customWidth="1"/>
    <col min="4" max="4" width="11.5703125" style="1" customWidth="1"/>
    <col min="5" max="5" width="13.42578125" style="1" customWidth="1"/>
    <col min="6" max="7" width="15.7109375" style="1" customWidth="1"/>
    <col min="8" max="8" width="16" style="1" customWidth="1"/>
    <col min="9" max="9" width="43.42578125" style="1" customWidth="1"/>
    <col min="10" max="257" width="9.140625" style="1"/>
    <col min="258" max="258" width="7" style="1" customWidth="1"/>
    <col min="259" max="259" width="10.7109375" style="1" customWidth="1"/>
    <col min="260" max="260" width="15.7109375" style="1" customWidth="1"/>
    <col min="261" max="262" width="13.42578125" style="1" customWidth="1"/>
    <col min="263" max="263" width="17.85546875" style="1" customWidth="1"/>
    <col min="264" max="264" width="16" style="1" customWidth="1"/>
    <col min="265" max="265" width="43.42578125" style="1" customWidth="1"/>
    <col min="266" max="513" width="9.140625" style="1"/>
    <col min="514" max="514" width="7" style="1" customWidth="1"/>
    <col min="515" max="515" width="10.7109375" style="1" customWidth="1"/>
    <col min="516" max="516" width="15.7109375" style="1" customWidth="1"/>
    <col min="517" max="518" width="13.42578125" style="1" customWidth="1"/>
    <col min="519" max="519" width="17.85546875" style="1" customWidth="1"/>
    <col min="520" max="520" width="16" style="1" customWidth="1"/>
    <col min="521" max="521" width="43.42578125" style="1" customWidth="1"/>
    <col min="522" max="769" width="9.140625" style="1"/>
    <col min="770" max="770" width="7" style="1" customWidth="1"/>
    <col min="771" max="771" width="10.7109375" style="1" customWidth="1"/>
    <col min="772" max="772" width="15.7109375" style="1" customWidth="1"/>
    <col min="773" max="774" width="13.42578125" style="1" customWidth="1"/>
    <col min="775" max="775" width="17.85546875" style="1" customWidth="1"/>
    <col min="776" max="776" width="16" style="1" customWidth="1"/>
    <col min="777" max="777" width="43.42578125" style="1" customWidth="1"/>
    <col min="778" max="1025" width="9.140625" style="1"/>
    <col min="1026" max="1026" width="7" style="1" customWidth="1"/>
    <col min="1027" max="1027" width="10.7109375" style="1" customWidth="1"/>
    <col min="1028" max="1028" width="15.7109375" style="1" customWidth="1"/>
    <col min="1029" max="1030" width="13.42578125" style="1" customWidth="1"/>
    <col min="1031" max="1031" width="17.85546875" style="1" customWidth="1"/>
    <col min="1032" max="1032" width="16" style="1" customWidth="1"/>
    <col min="1033" max="1033" width="43.42578125" style="1" customWidth="1"/>
    <col min="1034" max="1281" width="9.140625" style="1"/>
    <col min="1282" max="1282" width="7" style="1" customWidth="1"/>
    <col min="1283" max="1283" width="10.7109375" style="1" customWidth="1"/>
    <col min="1284" max="1284" width="15.7109375" style="1" customWidth="1"/>
    <col min="1285" max="1286" width="13.42578125" style="1" customWidth="1"/>
    <col min="1287" max="1287" width="17.85546875" style="1" customWidth="1"/>
    <col min="1288" max="1288" width="16" style="1" customWidth="1"/>
    <col min="1289" max="1289" width="43.42578125" style="1" customWidth="1"/>
    <col min="1290" max="1537" width="9.140625" style="1"/>
    <col min="1538" max="1538" width="7" style="1" customWidth="1"/>
    <col min="1539" max="1539" width="10.7109375" style="1" customWidth="1"/>
    <col min="1540" max="1540" width="15.7109375" style="1" customWidth="1"/>
    <col min="1541" max="1542" width="13.42578125" style="1" customWidth="1"/>
    <col min="1543" max="1543" width="17.85546875" style="1" customWidth="1"/>
    <col min="1544" max="1544" width="16" style="1" customWidth="1"/>
    <col min="1545" max="1545" width="43.42578125" style="1" customWidth="1"/>
    <col min="1546" max="1793" width="9.140625" style="1"/>
    <col min="1794" max="1794" width="7" style="1" customWidth="1"/>
    <col min="1795" max="1795" width="10.7109375" style="1" customWidth="1"/>
    <col min="1796" max="1796" width="15.7109375" style="1" customWidth="1"/>
    <col min="1797" max="1798" width="13.42578125" style="1" customWidth="1"/>
    <col min="1799" max="1799" width="17.85546875" style="1" customWidth="1"/>
    <col min="1800" max="1800" width="16" style="1" customWidth="1"/>
    <col min="1801" max="1801" width="43.42578125" style="1" customWidth="1"/>
    <col min="1802" max="2049" width="9.140625" style="1"/>
    <col min="2050" max="2050" width="7" style="1" customWidth="1"/>
    <col min="2051" max="2051" width="10.7109375" style="1" customWidth="1"/>
    <col min="2052" max="2052" width="15.7109375" style="1" customWidth="1"/>
    <col min="2053" max="2054" width="13.42578125" style="1" customWidth="1"/>
    <col min="2055" max="2055" width="17.85546875" style="1" customWidth="1"/>
    <col min="2056" max="2056" width="16" style="1" customWidth="1"/>
    <col min="2057" max="2057" width="43.42578125" style="1" customWidth="1"/>
    <col min="2058" max="2305" width="9.140625" style="1"/>
    <col min="2306" max="2306" width="7" style="1" customWidth="1"/>
    <col min="2307" max="2307" width="10.7109375" style="1" customWidth="1"/>
    <col min="2308" max="2308" width="15.7109375" style="1" customWidth="1"/>
    <col min="2309" max="2310" width="13.42578125" style="1" customWidth="1"/>
    <col min="2311" max="2311" width="17.85546875" style="1" customWidth="1"/>
    <col min="2312" max="2312" width="16" style="1" customWidth="1"/>
    <col min="2313" max="2313" width="43.42578125" style="1" customWidth="1"/>
    <col min="2314" max="2561" width="9.140625" style="1"/>
    <col min="2562" max="2562" width="7" style="1" customWidth="1"/>
    <col min="2563" max="2563" width="10.7109375" style="1" customWidth="1"/>
    <col min="2564" max="2564" width="15.7109375" style="1" customWidth="1"/>
    <col min="2565" max="2566" width="13.42578125" style="1" customWidth="1"/>
    <col min="2567" max="2567" width="17.85546875" style="1" customWidth="1"/>
    <col min="2568" max="2568" width="16" style="1" customWidth="1"/>
    <col min="2569" max="2569" width="43.42578125" style="1" customWidth="1"/>
    <col min="2570" max="2817" width="9.140625" style="1"/>
    <col min="2818" max="2818" width="7" style="1" customWidth="1"/>
    <col min="2819" max="2819" width="10.7109375" style="1" customWidth="1"/>
    <col min="2820" max="2820" width="15.7109375" style="1" customWidth="1"/>
    <col min="2821" max="2822" width="13.42578125" style="1" customWidth="1"/>
    <col min="2823" max="2823" width="17.85546875" style="1" customWidth="1"/>
    <col min="2824" max="2824" width="16" style="1" customWidth="1"/>
    <col min="2825" max="2825" width="43.42578125" style="1" customWidth="1"/>
    <col min="2826" max="3073" width="9.140625" style="1"/>
    <col min="3074" max="3074" width="7" style="1" customWidth="1"/>
    <col min="3075" max="3075" width="10.7109375" style="1" customWidth="1"/>
    <col min="3076" max="3076" width="15.7109375" style="1" customWidth="1"/>
    <col min="3077" max="3078" width="13.42578125" style="1" customWidth="1"/>
    <col min="3079" max="3079" width="17.85546875" style="1" customWidth="1"/>
    <col min="3080" max="3080" width="16" style="1" customWidth="1"/>
    <col min="3081" max="3081" width="43.42578125" style="1" customWidth="1"/>
    <col min="3082" max="3329" width="9.140625" style="1"/>
    <col min="3330" max="3330" width="7" style="1" customWidth="1"/>
    <col min="3331" max="3331" width="10.7109375" style="1" customWidth="1"/>
    <col min="3332" max="3332" width="15.7109375" style="1" customWidth="1"/>
    <col min="3333" max="3334" width="13.42578125" style="1" customWidth="1"/>
    <col min="3335" max="3335" width="17.85546875" style="1" customWidth="1"/>
    <col min="3336" max="3336" width="16" style="1" customWidth="1"/>
    <col min="3337" max="3337" width="43.42578125" style="1" customWidth="1"/>
    <col min="3338" max="3585" width="9.140625" style="1"/>
    <col min="3586" max="3586" width="7" style="1" customWidth="1"/>
    <col min="3587" max="3587" width="10.7109375" style="1" customWidth="1"/>
    <col min="3588" max="3588" width="15.7109375" style="1" customWidth="1"/>
    <col min="3589" max="3590" width="13.42578125" style="1" customWidth="1"/>
    <col min="3591" max="3591" width="17.85546875" style="1" customWidth="1"/>
    <col min="3592" max="3592" width="16" style="1" customWidth="1"/>
    <col min="3593" max="3593" width="43.42578125" style="1" customWidth="1"/>
    <col min="3594" max="3841" width="9.140625" style="1"/>
    <col min="3842" max="3842" width="7" style="1" customWidth="1"/>
    <col min="3843" max="3843" width="10.7109375" style="1" customWidth="1"/>
    <col min="3844" max="3844" width="15.7109375" style="1" customWidth="1"/>
    <col min="3845" max="3846" width="13.42578125" style="1" customWidth="1"/>
    <col min="3847" max="3847" width="17.85546875" style="1" customWidth="1"/>
    <col min="3848" max="3848" width="16" style="1" customWidth="1"/>
    <col min="3849" max="3849" width="43.42578125" style="1" customWidth="1"/>
    <col min="3850" max="4097" width="9.140625" style="1"/>
    <col min="4098" max="4098" width="7" style="1" customWidth="1"/>
    <col min="4099" max="4099" width="10.7109375" style="1" customWidth="1"/>
    <col min="4100" max="4100" width="15.7109375" style="1" customWidth="1"/>
    <col min="4101" max="4102" width="13.42578125" style="1" customWidth="1"/>
    <col min="4103" max="4103" width="17.85546875" style="1" customWidth="1"/>
    <col min="4104" max="4104" width="16" style="1" customWidth="1"/>
    <col min="4105" max="4105" width="43.42578125" style="1" customWidth="1"/>
    <col min="4106" max="4353" width="9.140625" style="1"/>
    <col min="4354" max="4354" width="7" style="1" customWidth="1"/>
    <col min="4355" max="4355" width="10.7109375" style="1" customWidth="1"/>
    <col min="4356" max="4356" width="15.7109375" style="1" customWidth="1"/>
    <col min="4357" max="4358" width="13.42578125" style="1" customWidth="1"/>
    <col min="4359" max="4359" width="17.85546875" style="1" customWidth="1"/>
    <col min="4360" max="4360" width="16" style="1" customWidth="1"/>
    <col min="4361" max="4361" width="43.42578125" style="1" customWidth="1"/>
    <col min="4362" max="4609" width="9.140625" style="1"/>
    <col min="4610" max="4610" width="7" style="1" customWidth="1"/>
    <col min="4611" max="4611" width="10.7109375" style="1" customWidth="1"/>
    <col min="4612" max="4612" width="15.7109375" style="1" customWidth="1"/>
    <col min="4613" max="4614" width="13.42578125" style="1" customWidth="1"/>
    <col min="4615" max="4615" width="17.85546875" style="1" customWidth="1"/>
    <col min="4616" max="4616" width="16" style="1" customWidth="1"/>
    <col min="4617" max="4617" width="43.42578125" style="1" customWidth="1"/>
    <col min="4618" max="4865" width="9.140625" style="1"/>
    <col min="4866" max="4866" width="7" style="1" customWidth="1"/>
    <col min="4867" max="4867" width="10.7109375" style="1" customWidth="1"/>
    <col min="4868" max="4868" width="15.7109375" style="1" customWidth="1"/>
    <col min="4869" max="4870" width="13.42578125" style="1" customWidth="1"/>
    <col min="4871" max="4871" width="17.85546875" style="1" customWidth="1"/>
    <col min="4872" max="4872" width="16" style="1" customWidth="1"/>
    <col min="4873" max="4873" width="43.42578125" style="1" customWidth="1"/>
    <col min="4874" max="5121" width="9.140625" style="1"/>
    <col min="5122" max="5122" width="7" style="1" customWidth="1"/>
    <col min="5123" max="5123" width="10.7109375" style="1" customWidth="1"/>
    <col min="5124" max="5124" width="15.7109375" style="1" customWidth="1"/>
    <col min="5125" max="5126" width="13.42578125" style="1" customWidth="1"/>
    <col min="5127" max="5127" width="17.85546875" style="1" customWidth="1"/>
    <col min="5128" max="5128" width="16" style="1" customWidth="1"/>
    <col min="5129" max="5129" width="43.42578125" style="1" customWidth="1"/>
    <col min="5130" max="5377" width="9.140625" style="1"/>
    <col min="5378" max="5378" width="7" style="1" customWidth="1"/>
    <col min="5379" max="5379" width="10.7109375" style="1" customWidth="1"/>
    <col min="5380" max="5380" width="15.7109375" style="1" customWidth="1"/>
    <col min="5381" max="5382" width="13.42578125" style="1" customWidth="1"/>
    <col min="5383" max="5383" width="17.85546875" style="1" customWidth="1"/>
    <col min="5384" max="5384" width="16" style="1" customWidth="1"/>
    <col min="5385" max="5385" width="43.42578125" style="1" customWidth="1"/>
    <col min="5386" max="5633" width="9.140625" style="1"/>
    <col min="5634" max="5634" width="7" style="1" customWidth="1"/>
    <col min="5635" max="5635" width="10.7109375" style="1" customWidth="1"/>
    <col min="5636" max="5636" width="15.7109375" style="1" customWidth="1"/>
    <col min="5637" max="5638" width="13.42578125" style="1" customWidth="1"/>
    <col min="5639" max="5639" width="17.85546875" style="1" customWidth="1"/>
    <col min="5640" max="5640" width="16" style="1" customWidth="1"/>
    <col min="5641" max="5641" width="43.42578125" style="1" customWidth="1"/>
    <col min="5642" max="5889" width="9.140625" style="1"/>
    <col min="5890" max="5890" width="7" style="1" customWidth="1"/>
    <col min="5891" max="5891" width="10.7109375" style="1" customWidth="1"/>
    <col min="5892" max="5892" width="15.7109375" style="1" customWidth="1"/>
    <col min="5893" max="5894" width="13.42578125" style="1" customWidth="1"/>
    <col min="5895" max="5895" width="17.85546875" style="1" customWidth="1"/>
    <col min="5896" max="5896" width="16" style="1" customWidth="1"/>
    <col min="5897" max="5897" width="43.42578125" style="1" customWidth="1"/>
    <col min="5898" max="6145" width="9.140625" style="1"/>
    <col min="6146" max="6146" width="7" style="1" customWidth="1"/>
    <col min="6147" max="6147" width="10.7109375" style="1" customWidth="1"/>
    <col min="6148" max="6148" width="15.7109375" style="1" customWidth="1"/>
    <col min="6149" max="6150" width="13.42578125" style="1" customWidth="1"/>
    <col min="6151" max="6151" width="17.85546875" style="1" customWidth="1"/>
    <col min="6152" max="6152" width="16" style="1" customWidth="1"/>
    <col min="6153" max="6153" width="43.42578125" style="1" customWidth="1"/>
    <col min="6154" max="6401" width="9.140625" style="1"/>
    <col min="6402" max="6402" width="7" style="1" customWidth="1"/>
    <col min="6403" max="6403" width="10.7109375" style="1" customWidth="1"/>
    <col min="6404" max="6404" width="15.7109375" style="1" customWidth="1"/>
    <col min="6405" max="6406" width="13.42578125" style="1" customWidth="1"/>
    <col min="6407" max="6407" width="17.85546875" style="1" customWidth="1"/>
    <col min="6408" max="6408" width="16" style="1" customWidth="1"/>
    <col min="6409" max="6409" width="43.42578125" style="1" customWidth="1"/>
    <col min="6410" max="6657" width="9.140625" style="1"/>
    <col min="6658" max="6658" width="7" style="1" customWidth="1"/>
    <col min="6659" max="6659" width="10.7109375" style="1" customWidth="1"/>
    <col min="6660" max="6660" width="15.7109375" style="1" customWidth="1"/>
    <col min="6661" max="6662" width="13.42578125" style="1" customWidth="1"/>
    <col min="6663" max="6663" width="17.85546875" style="1" customWidth="1"/>
    <col min="6664" max="6664" width="16" style="1" customWidth="1"/>
    <col min="6665" max="6665" width="43.42578125" style="1" customWidth="1"/>
    <col min="6666" max="6913" width="9.140625" style="1"/>
    <col min="6914" max="6914" width="7" style="1" customWidth="1"/>
    <col min="6915" max="6915" width="10.7109375" style="1" customWidth="1"/>
    <col min="6916" max="6916" width="15.7109375" style="1" customWidth="1"/>
    <col min="6917" max="6918" width="13.42578125" style="1" customWidth="1"/>
    <col min="6919" max="6919" width="17.85546875" style="1" customWidth="1"/>
    <col min="6920" max="6920" width="16" style="1" customWidth="1"/>
    <col min="6921" max="6921" width="43.42578125" style="1" customWidth="1"/>
    <col min="6922" max="7169" width="9.140625" style="1"/>
    <col min="7170" max="7170" width="7" style="1" customWidth="1"/>
    <col min="7171" max="7171" width="10.7109375" style="1" customWidth="1"/>
    <col min="7172" max="7172" width="15.7109375" style="1" customWidth="1"/>
    <col min="7173" max="7174" width="13.42578125" style="1" customWidth="1"/>
    <col min="7175" max="7175" width="17.85546875" style="1" customWidth="1"/>
    <col min="7176" max="7176" width="16" style="1" customWidth="1"/>
    <col min="7177" max="7177" width="43.42578125" style="1" customWidth="1"/>
    <col min="7178" max="7425" width="9.140625" style="1"/>
    <col min="7426" max="7426" width="7" style="1" customWidth="1"/>
    <col min="7427" max="7427" width="10.7109375" style="1" customWidth="1"/>
    <col min="7428" max="7428" width="15.7109375" style="1" customWidth="1"/>
    <col min="7429" max="7430" width="13.42578125" style="1" customWidth="1"/>
    <col min="7431" max="7431" width="17.85546875" style="1" customWidth="1"/>
    <col min="7432" max="7432" width="16" style="1" customWidth="1"/>
    <col min="7433" max="7433" width="43.42578125" style="1" customWidth="1"/>
    <col min="7434" max="7681" width="9.140625" style="1"/>
    <col min="7682" max="7682" width="7" style="1" customWidth="1"/>
    <col min="7683" max="7683" width="10.7109375" style="1" customWidth="1"/>
    <col min="7684" max="7684" width="15.7109375" style="1" customWidth="1"/>
    <col min="7685" max="7686" width="13.42578125" style="1" customWidth="1"/>
    <col min="7687" max="7687" width="17.85546875" style="1" customWidth="1"/>
    <col min="7688" max="7688" width="16" style="1" customWidth="1"/>
    <col min="7689" max="7689" width="43.42578125" style="1" customWidth="1"/>
    <col min="7690" max="7937" width="9.140625" style="1"/>
    <col min="7938" max="7938" width="7" style="1" customWidth="1"/>
    <col min="7939" max="7939" width="10.7109375" style="1" customWidth="1"/>
    <col min="7940" max="7940" width="15.7109375" style="1" customWidth="1"/>
    <col min="7941" max="7942" width="13.42578125" style="1" customWidth="1"/>
    <col min="7943" max="7943" width="17.85546875" style="1" customWidth="1"/>
    <col min="7944" max="7944" width="16" style="1" customWidth="1"/>
    <col min="7945" max="7945" width="43.42578125" style="1" customWidth="1"/>
    <col min="7946" max="8193" width="9.140625" style="1"/>
    <col min="8194" max="8194" width="7" style="1" customWidth="1"/>
    <col min="8195" max="8195" width="10.7109375" style="1" customWidth="1"/>
    <col min="8196" max="8196" width="15.7109375" style="1" customWidth="1"/>
    <col min="8197" max="8198" width="13.42578125" style="1" customWidth="1"/>
    <col min="8199" max="8199" width="17.85546875" style="1" customWidth="1"/>
    <col min="8200" max="8200" width="16" style="1" customWidth="1"/>
    <col min="8201" max="8201" width="43.42578125" style="1" customWidth="1"/>
    <col min="8202" max="8449" width="9.140625" style="1"/>
    <col min="8450" max="8450" width="7" style="1" customWidth="1"/>
    <col min="8451" max="8451" width="10.7109375" style="1" customWidth="1"/>
    <col min="8452" max="8452" width="15.7109375" style="1" customWidth="1"/>
    <col min="8453" max="8454" width="13.42578125" style="1" customWidth="1"/>
    <col min="8455" max="8455" width="17.85546875" style="1" customWidth="1"/>
    <col min="8456" max="8456" width="16" style="1" customWidth="1"/>
    <col min="8457" max="8457" width="43.42578125" style="1" customWidth="1"/>
    <col min="8458" max="8705" width="9.140625" style="1"/>
    <col min="8706" max="8706" width="7" style="1" customWidth="1"/>
    <col min="8707" max="8707" width="10.7109375" style="1" customWidth="1"/>
    <col min="8708" max="8708" width="15.7109375" style="1" customWidth="1"/>
    <col min="8709" max="8710" width="13.42578125" style="1" customWidth="1"/>
    <col min="8711" max="8711" width="17.85546875" style="1" customWidth="1"/>
    <col min="8712" max="8712" width="16" style="1" customWidth="1"/>
    <col min="8713" max="8713" width="43.42578125" style="1" customWidth="1"/>
    <col min="8714" max="8961" width="9.140625" style="1"/>
    <col min="8962" max="8962" width="7" style="1" customWidth="1"/>
    <col min="8963" max="8963" width="10.7109375" style="1" customWidth="1"/>
    <col min="8964" max="8964" width="15.7109375" style="1" customWidth="1"/>
    <col min="8965" max="8966" width="13.42578125" style="1" customWidth="1"/>
    <col min="8967" max="8967" width="17.85546875" style="1" customWidth="1"/>
    <col min="8968" max="8968" width="16" style="1" customWidth="1"/>
    <col min="8969" max="8969" width="43.42578125" style="1" customWidth="1"/>
    <col min="8970" max="9217" width="9.140625" style="1"/>
    <col min="9218" max="9218" width="7" style="1" customWidth="1"/>
    <col min="9219" max="9219" width="10.7109375" style="1" customWidth="1"/>
    <col min="9220" max="9220" width="15.7109375" style="1" customWidth="1"/>
    <col min="9221" max="9222" width="13.42578125" style="1" customWidth="1"/>
    <col min="9223" max="9223" width="17.85546875" style="1" customWidth="1"/>
    <col min="9224" max="9224" width="16" style="1" customWidth="1"/>
    <col min="9225" max="9225" width="43.42578125" style="1" customWidth="1"/>
    <col min="9226" max="9473" width="9.140625" style="1"/>
    <col min="9474" max="9474" width="7" style="1" customWidth="1"/>
    <col min="9475" max="9475" width="10.7109375" style="1" customWidth="1"/>
    <col min="9476" max="9476" width="15.7109375" style="1" customWidth="1"/>
    <col min="9477" max="9478" width="13.42578125" style="1" customWidth="1"/>
    <col min="9479" max="9479" width="17.85546875" style="1" customWidth="1"/>
    <col min="9480" max="9480" width="16" style="1" customWidth="1"/>
    <col min="9481" max="9481" width="43.42578125" style="1" customWidth="1"/>
    <col min="9482" max="9729" width="9.140625" style="1"/>
    <col min="9730" max="9730" width="7" style="1" customWidth="1"/>
    <col min="9731" max="9731" width="10.7109375" style="1" customWidth="1"/>
    <col min="9732" max="9732" width="15.7109375" style="1" customWidth="1"/>
    <col min="9733" max="9734" width="13.42578125" style="1" customWidth="1"/>
    <col min="9735" max="9735" width="17.85546875" style="1" customWidth="1"/>
    <col min="9736" max="9736" width="16" style="1" customWidth="1"/>
    <col min="9737" max="9737" width="43.42578125" style="1" customWidth="1"/>
    <col min="9738" max="9985" width="9.140625" style="1"/>
    <col min="9986" max="9986" width="7" style="1" customWidth="1"/>
    <col min="9987" max="9987" width="10.7109375" style="1" customWidth="1"/>
    <col min="9988" max="9988" width="15.7109375" style="1" customWidth="1"/>
    <col min="9989" max="9990" width="13.42578125" style="1" customWidth="1"/>
    <col min="9991" max="9991" width="17.85546875" style="1" customWidth="1"/>
    <col min="9992" max="9992" width="16" style="1" customWidth="1"/>
    <col min="9993" max="9993" width="43.42578125" style="1" customWidth="1"/>
    <col min="9994" max="10241" width="9.140625" style="1"/>
    <col min="10242" max="10242" width="7" style="1" customWidth="1"/>
    <col min="10243" max="10243" width="10.7109375" style="1" customWidth="1"/>
    <col min="10244" max="10244" width="15.7109375" style="1" customWidth="1"/>
    <col min="10245" max="10246" width="13.42578125" style="1" customWidth="1"/>
    <col min="10247" max="10247" width="17.85546875" style="1" customWidth="1"/>
    <col min="10248" max="10248" width="16" style="1" customWidth="1"/>
    <col min="10249" max="10249" width="43.42578125" style="1" customWidth="1"/>
    <col min="10250" max="10497" width="9.140625" style="1"/>
    <col min="10498" max="10498" width="7" style="1" customWidth="1"/>
    <col min="10499" max="10499" width="10.7109375" style="1" customWidth="1"/>
    <col min="10500" max="10500" width="15.7109375" style="1" customWidth="1"/>
    <col min="10501" max="10502" width="13.42578125" style="1" customWidth="1"/>
    <col min="10503" max="10503" width="17.85546875" style="1" customWidth="1"/>
    <col min="10504" max="10504" width="16" style="1" customWidth="1"/>
    <col min="10505" max="10505" width="43.42578125" style="1" customWidth="1"/>
    <col min="10506" max="10753" width="9.140625" style="1"/>
    <col min="10754" max="10754" width="7" style="1" customWidth="1"/>
    <col min="10755" max="10755" width="10.7109375" style="1" customWidth="1"/>
    <col min="10756" max="10756" width="15.7109375" style="1" customWidth="1"/>
    <col min="10757" max="10758" width="13.42578125" style="1" customWidth="1"/>
    <col min="10759" max="10759" width="17.85546875" style="1" customWidth="1"/>
    <col min="10760" max="10760" width="16" style="1" customWidth="1"/>
    <col min="10761" max="10761" width="43.42578125" style="1" customWidth="1"/>
    <col min="10762" max="11009" width="9.140625" style="1"/>
    <col min="11010" max="11010" width="7" style="1" customWidth="1"/>
    <col min="11011" max="11011" width="10.7109375" style="1" customWidth="1"/>
    <col min="11012" max="11012" width="15.7109375" style="1" customWidth="1"/>
    <col min="11013" max="11014" width="13.42578125" style="1" customWidth="1"/>
    <col min="11015" max="11015" width="17.85546875" style="1" customWidth="1"/>
    <col min="11016" max="11016" width="16" style="1" customWidth="1"/>
    <col min="11017" max="11017" width="43.42578125" style="1" customWidth="1"/>
    <col min="11018" max="11265" width="9.140625" style="1"/>
    <col min="11266" max="11266" width="7" style="1" customWidth="1"/>
    <col min="11267" max="11267" width="10.7109375" style="1" customWidth="1"/>
    <col min="11268" max="11268" width="15.7109375" style="1" customWidth="1"/>
    <col min="11269" max="11270" width="13.42578125" style="1" customWidth="1"/>
    <col min="11271" max="11271" width="17.85546875" style="1" customWidth="1"/>
    <col min="11272" max="11272" width="16" style="1" customWidth="1"/>
    <col min="11273" max="11273" width="43.42578125" style="1" customWidth="1"/>
    <col min="11274" max="11521" width="9.140625" style="1"/>
    <col min="11522" max="11522" width="7" style="1" customWidth="1"/>
    <col min="11523" max="11523" width="10.7109375" style="1" customWidth="1"/>
    <col min="11524" max="11524" width="15.7109375" style="1" customWidth="1"/>
    <col min="11525" max="11526" width="13.42578125" style="1" customWidth="1"/>
    <col min="11527" max="11527" width="17.85546875" style="1" customWidth="1"/>
    <col min="11528" max="11528" width="16" style="1" customWidth="1"/>
    <col min="11529" max="11529" width="43.42578125" style="1" customWidth="1"/>
    <col min="11530" max="11777" width="9.140625" style="1"/>
    <col min="11778" max="11778" width="7" style="1" customWidth="1"/>
    <col min="11779" max="11779" width="10.7109375" style="1" customWidth="1"/>
    <col min="11780" max="11780" width="15.7109375" style="1" customWidth="1"/>
    <col min="11781" max="11782" width="13.42578125" style="1" customWidth="1"/>
    <col min="11783" max="11783" width="17.85546875" style="1" customWidth="1"/>
    <col min="11784" max="11784" width="16" style="1" customWidth="1"/>
    <col min="11785" max="11785" width="43.42578125" style="1" customWidth="1"/>
    <col min="11786" max="12033" width="9.140625" style="1"/>
    <col min="12034" max="12034" width="7" style="1" customWidth="1"/>
    <col min="12035" max="12035" width="10.7109375" style="1" customWidth="1"/>
    <col min="12036" max="12036" width="15.7109375" style="1" customWidth="1"/>
    <col min="12037" max="12038" width="13.42578125" style="1" customWidth="1"/>
    <col min="12039" max="12039" width="17.85546875" style="1" customWidth="1"/>
    <col min="12040" max="12040" width="16" style="1" customWidth="1"/>
    <col min="12041" max="12041" width="43.42578125" style="1" customWidth="1"/>
    <col min="12042" max="12289" width="9.140625" style="1"/>
    <col min="12290" max="12290" width="7" style="1" customWidth="1"/>
    <col min="12291" max="12291" width="10.7109375" style="1" customWidth="1"/>
    <col min="12292" max="12292" width="15.7109375" style="1" customWidth="1"/>
    <col min="12293" max="12294" width="13.42578125" style="1" customWidth="1"/>
    <col min="12295" max="12295" width="17.85546875" style="1" customWidth="1"/>
    <col min="12296" max="12296" width="16" style="1" customWidth="1"/>
    <col min="12297" max="12297" width="43.42578125" style="1" customWidth="1"/>
    <col min="12298" max="12545" width="9.140625" style="1"/>
    <col min="12546" max="12546" width="7" style="1" customWidth="1"/>
    <col min="12547" max="12547" width="10.7109375" style="1" customWidth="1"/>
    <col min="12548" max="12548" width="15.7109375" style="1" customWidth="1"/>
    <col min="12549" max="12550" width="13.42578125" style="1" customWidth="1"/>
    <col min="12551" max="12551" width="17.85546875" style="1" customWidth="1"/>
    <col min="12552" max="12552" width="16" style="1" customWidth="1"/>
    <col min="12553" max="12553" width="43.42578125" style="1" customWidth="1"/>
    <col min="12554" max="12801" width="9.140625" style="1"/>
    <col min="12802" max="12802" width="7" style="1" customWidth="1"/>
    <col min="12803" max="12803" width="10.7109375" style="1" customWidth="1"/>
    <col min="12804" max="12804" width="15.7109375" style="1" customWidth="1"/>
    <col min="12805" max="12806" width="13.42578125" style="1" customWidth="1"/>
    <col min="12807" max="12807" width="17.85546875" style="1" customWidth="1"/>
    <col min="12808" max="12808" width="16" style="1" customWidth="1"/>
    <col min="12809" max="12809" width="43.42578125" style="1" customWidth="1"/>
    <col min="12810" max="13057" width="9.140625" style="1"/>
    <col min="13058" max="13058" width="7" style="1" customWidth="1"/>
    <col min="13059" max="13059" width="10.7109375" style="1" customWidth="1"/>
    <col min="13060" max="13060" width="15.7109375" style="1" customWidth="1"/>
    <col min="13061" max="13062" width="13.42578125" style="1" customWidth="1"/>
    <col min="13063" max="13063" width="17.85546875" style="1" customWidth="1"/>
    <col min="13064" max="13064" width="16" style="1" customWidth="1"/>
    <col min="13065" max="13065" width="43.42578125" style="1" customWidth="1"/>
    <col min="13066" max="13313" width="9.140625" style="1"/>
    <col min="13314" max="13314" width="7" style="1" customWidth="1"/>
    <col min="13315" max="13315" width="10.7109375" style="1" customWidth="1"/>
    <col min="13316" max="13316" width="15.7109375" style="1" customWidth="1"/>
    <col min="13317" max="13318" width="13.42578125" style="1" customWidth="1"/>
    <col min="13319" max="13319" width="17.85546875" style="1" customWidth="1"/>
    <col min="13320" max="13320" width="16" style="1" customWidth="1"/>
    <col min="13321" max="13321" width="43.42578125" style="1" customWidth="1"/>
    <col min="13322" max="13569" width="9.140625" style="1"/>
    <col min="13570" max="13570" width="7" style="1" customWidth="1"/>
    <col min="13571" max="13571" width="10.7109375" style="1" customWidth="1"/>
    <col min="13572" max="13572" width="15.7109375" style="1" customWidth="1"/>
    <col min="13573" max="13574" width="13.42578125" style="1" customWidth="1"/>
    <col min="13575" max="13575" width="17.85546875" style="1" customWidth="1"/>
    <col min="13576" max="13576" width="16" style="1" customWidth="1"/>
    <col min="13577" max="13577" width="43.42578125" style="1" customWidth="1"/>
    <col min="13578" max="13825" width="9.140625" style="1"/>
    <col min="13826" max="13826" width="7" style="1" customWidth="1"/>
    <col min="13827" max="13827" width="10.7109375" style="1" customWidth="1"/>
    <col min="13828" max="13828" width="15.7109375" style="1" customWidth="1"/>
    <col min="13829" max="13830" width="13.42578125" style="1" customWidth="1"/>
    <col min="13831" max="13831" width="17.85546875" style="1" customWidth="1"/>
    <col min="13832" max="13832" width="16" style="1" customWidth="1"/>
    <col min="13833" max="13833" width="43.42578125" style="1" customWidth="1"/>
    <col min="13834" max="14081" width="9.140625" style="1"/>
    <col min="14082" max="14082" width="7" style="1" customWidth="1"/>
    <col min="14083" max="14083" width="10.7109375" style="1" customWidth="1"/>
    <col min="14084" max="14084" width="15.7109375" style="1" customWidth="1"/>
    <col min="14085" max="14086" width="13.42578125" style="1" customWidth="1"/>
    <col min="14087" max="14087" width="17.85546875" style="1" customWidth="1"/>
    <col min="14088" max="14088" width="16" style="1" customWidth="1"/>
    <col min="14089" max="14089" width="43.42578125" style="1" customWidth="1"/>
    <col min="14090" max="14337" width="9.140625" style="1"/>
    <col min="14338" max="14338" width="7" style="1" customWidth="1"/>
    <col min="14339" max="14339" width="10.7109375" style="1" customWidth="1"/>
    <col min="14340" max="14340" width="15.7109375" style="1" customWidth="1"/>
    <col min="14341" max="14342" width="13.42578125" style="1" customWidth="1"/>
    <col min="14343" max="14343" width="17.85546875" style="1" customWidth="1"/>
    <col min="14344" max="14344" width="16" style="1" customWidth="1"/>
    <col min="14345" max="14345" width="43.42578125" style="1" customWidth="1"/>
    <col min="14346" max="14593" width="9.140625" style="1"/>
    <col min="14594" max="14594" width="7" style="1" customWidth="1"/>
    <col min="14595" max="14595" width="10.7109375" style="1" customWidth="1"/>
    <col min="14596" max="14596" width="15.7109375" style="1" customWidth="1"/>
    <col min="14597" max="14598" width="13.42578125" style="1" customWidth="1"/>
    <col min="14599" max="14599" width="17.85546875" style="1" customWidth="1"/>
    <col min="14600" max="14600" width="16" style="1" customWidth="1"/>
    <col min="14601" max="14601" width="43.42578125" style="1" customWidth="1"/>
    <col min="14602" max="14849" width="9.140625" style="1"/>
    <col min="14850" max="14850" width="7" style="1" customWidth="1"/>
    <col min="14851" max="14851" width="10.7109375" style="1" customWidth="1"/>
    <col min="14852" max="14852" width="15.7109375" style="1" customWidth="1"/>
    <col min="14853" max="14854" width="13.42578125" style="1" customWidth="1"/>
    <col min="14855" max="14855" width="17.85546875" style="1" customWidth="1"/>
    <col min="14856" max="14856" width="16" style="1" customWidth="1"/>
    <col min="14857" max="14857" width="43.42578125" style="1" customWidth="1"/>
    <col min="14858" max="15105" width="9.140625" style="1"/>
    <col min="15106" max="15106" width="7" style="1" customWidth="1"/>
    <col min="15107" max="15107" width="10.7109375" style="1" customWidth="1"/>
    <col min="15108" max="15108" width="15.7109375" style="1" customWidth="1"/>
    <col min="15109" max="15110" width="13.42578125" style="1" customWidth="1"/>
    <col min="15111" max="15111" width="17.85546875" style="1" customWidth="1"/>
    <col min="15112" max="15112" width="16" style="1" customWidth="1"/>
    <col min="15113" max="15113" width="43.42578125" style="1" customWidth="1"/>
    <col min="15114" max="15361" width="9.140625" style="1"/>
    <col min="15362" max="15362" width="7" style="1" customWidth="1"/>
    <col min="15363" max="15363" width="10.7109375" style="1" customWidth="1"/>
    <col min="15364" max="15364" width="15.7109375" style="1" customWidth="1"/>
    <col min="15365" max="15366" width="13.42578125" style="1" customWidth="1"/>
    <col min="15367" max="15367" width="17.85546875" style="1" customWidth="1"/>
    <col min="15368" max="15368" width="16" style="1" customWidth="1"/>
    <col min="15369" max="15369" width="43.42578125" style="1" customWidth="1"/>
    <col min="15370" max="15617" width="9.140625" style="1"/>
    <col min="15618" max="15618" width="7" style="1" customWidth="1"/>
    <col min="15619" max="15619" width="10.7109375" style="1" customWidth="1"/>
    <col min="15620" max="15620" width="15.7109375" style="1" customWidth="1"/>
    <col min="15621" max="15622" width="13.42578125" style="1" customWidth="1"/>
    <col min="15623" max="15623" width="17.85546875" style="1" customWidth="1"/>
    <col min="15624" max="15624" width="16" style="1" customWidth="1"/>
    <col min="15625" max="15625" width="43.42578125" style="1" customWidth="1"/>
    <col min="15626" max="15873" width="9.140625" style="1"/>
    <col min="15874" max="15874" width="7" style="1" customWidth="1"/>
    <col min="15875" max="15875" width="10.7109375" style="1" customWidth="1"/>
    <col min="15876" max="15876" width="15.7109375" style="1" customWidth="1"/>
    <col min="15877" max="15878" width="13.42578125" style="1" customWidth="1"/>
    <col min="15879" max="15879" width="17.85546875" style="1" customWidth="1"/>
    <col min="15880" max="15880" width="16" style="1" customWidth="1"/>
    <col min="15881" max="15881" width="43.42578125" style="1" customWidth="1"/>
    <col min="15882" max="16129" width="9.140625" style="1"/>
    <col min="16130" max="16130" width="7" style="1" customWidth="1"/>
    <col min="16131" max="16131" width="10.7109375" style="1" customWidth="1"/>
    <col min="16132" max="16132" width="15.7109375" style="1" customWidth="1"/>
    <col min="16133" max="16134" width="13.42578125" style="1" customWidth="1"/>
    <col min="16135" max="16135" width="17.85546875" style="1" customWidth="1"/>
    <col min="16136" max="16136" width="16" style="1" customWidth="1"/>
    <col min="16137" max="16137" width="43.42578125" style="1" customWidth="1"/>
    <col min="16138" max="16384" width="9.140625" style="1"/>
  </cols>
  <sheetData>
    <row r="2" spans="1:9" ht="63.75" customHeight="1">
      <c r="A2" s="134"/>
      <c r="B2" s="134"/>
      <c r="C2" s="153"/>
      <c r="D2" s="153"/>
      <c r="E2" s="152"/>
      <c r="F2" s="152"/>
      <c r="G2" s="152"/>
      <c r="H2" s="1552" t="s">
        <v>1065</v>
      </c>
      <c r="I2" s="1552"/>
    </row>
    <row r="3" spans="1:9" ht="50.25" customHeight="1">
      <c r="A3" s="1661" t="s">
        <v>1037</v>
      </c>
      <c r="B3" s="1661"/>
      <c r="C3" s="1661"/>
      <c r="D3" s="1661"/>
      <c r="E3" s="1661"/>
      <c r="F3" s="1661"/>
      <c r="G3" s="1661"/>
      <c r="H3" s="1661"/>
      <c r="I3" s="1661"/>
    </row>
    <row r="4" spans="1:9" ht="15.75" thickBot="1">
      <c r="A4" s="10"/>
      <c r="B4" s="10"/>
      <c r="C4" s="10"/>
      <c r="D4" s="10"/>
      <c r="E4" s="10"/>
      <c r="F4" s="10"/>
      <c r="G4" s="10"/>
      <c r="H4" s="10"/>
      <c r="I4" s="9" t="s">
        <v>45</v>
      </c>
    </row>
    <row r="5" spans="1:9" ht="15.75" customHeight="1" thickBot="1">
      <c r="A5" s="1662" t="s">
        <v>0</v>
      </c>
      <c r="B5" s="1663" t="s">
        <v>1</v>
      </c>
      <c r="C5" s="1664" t="s">
        <v>119</v>
      </c>
      <c r="D5" s="1665" t="s">
        <v>8</v>
      </c>
      <c r="E5" s="1665" t="s">
        <v>97</v>
      </c>
      <c r="F5" s="1666" t="s">
        <v>118</v>
      </c>
      <c r="G5" s="1667"/>
      <c r="H5" s="1665" t="s">
        <v>117</v>
      </c>
      <c r="I5" s="1662" t="s">
        <v>116</v>
      </c>
    </row>
    <row r="6" spans="1:9" ht="15" customHeight="1" thickBot="1">
      <c r="A6" s="1662"/>
      <c r="B6" s="1663"/>
      <c r="C6" s="1664"/>
      <c r="D6" s="1665"/>
      <c r="E6" s="1665"/>
      <c r="F6" s="1668" t="s">
        <v>44</v>
      </c>
      <c r="G6" s="1668" t="s">
        <v>43</v>
      </c>
      <c r="H6" s="1665"/>
      <c r="I6" s="1662"/>
    </row>
    <row r="7" spans="1:9" ht="15" customHeight="1" thickBot="1">
      <c r="A7" s="1662"/>
      <c r="B7" s="1663"/>
      <c r="C7" s="1664"/>
      <c r="D7" s="1665"/>
      <c r="E7" s="1665"/>
      <c r="F7" s="1669"/>
      <c r="G7" s="1669"/>
      <c r="H7" s="1665"/>
      <c r="I7" s="1662"/>
    </row>
    <row r="8" spans="1:9" ht="32.25" customHeight="1" thickBot="1">
      <c r="A8" s="1658" t="s">
        <v>19</v>
      </c>
      <c r="B8" s="1659" t="s">
        <v>115</v>
      </c>
      <c r="C8" s="1660"/>
      <c r="D8" s="150"/>
      <c r="E8" s="150">
        <f>SUM(E9)</f>
        <v>400000</v>
      </c>
      <c r="F8" s="151">
        <f>SUM(F9)</f>
        <v>400000</v>
      </c>
      <c r="G8" s="150"/>
      <c r="H8" s="149"/>
      <c r="I8" s="148"/>
    </row>
    <row r="9" spans="1:9" ht="72" thickBot="1">
      <c r="A9" s="1658"/>
      <c r="B9" s="147" t="s">
        <v>20</v>
      </c>
      <c r="C9" s="146" t="s">
        <v>21</v>
      </c>
      <c r="D9" s="145">
        <v>2710</v>
      </c>
      <c r="E9" s="143">
        <f>SUM(F9:G9)</f>
        <v>400000</v>
      </c>
      <c r="F9" s="144">
        <v>400000</v>
      </c>
      <c r="G9" s="143">
        <v>0</v>
      </c>
      <c r="H9" s="142" t="s">
        <v>114</v>
      </c>
      <c r="I9" s="141" t="s">
        <v>1038</v>
      </c>
    </row>
    <row r="10" spans="1:9" ht="44.25" customHeight="1" thickBot="1">
      <c r="A10" s="1657"/>
      <c r="B10" s="1657"/>
      <c r="C10" s="1657"/>
      <c r="D10" s="140"/>
      <c r="E10" s="140">
        <f>SUM(E8)</f>
        <v>400000</v>
      </c>
      <c r="F10" s="140">
        <f t="shared" ref="F10:H10" si="0">SUM(F8)</f>
        <v>400000</v>
      </c>
      <c r="G10" s="140">
        <f t="shared" si="0"/>
        <v>0</v>
      </c>
      <c r="H10" s="140">
        <f t="shared" si="0"/>
        <v>0</v>
      </c>
      <c r="I10" s="139"/>
    </row>
    <row r="23" spans="4:4">
      <c r="D23" s="310"/>
    </row>
  </sheetData>
  <mergeCells count="15">
    <mergeCell ref="A10:C10"/>
    <mergeCell ref="A8:A9"/>
    <mergeCell ref="B8:C8"/>
    <mergeCell ref="H2:I2"/>
    <mergeCell ref="A3:I3"/>
    <mergeCell ref="A5:A7"/>
    <mergeCell ref="B5:B7"/>
    <mergeCell ref="C5:C7"/>
    <mergeCell ref="E5:E7"/>
    <mergeCell ref="H5:H7"/>
    <mergeCell ref="I5:I7"/>
    <mergeCell ref="D5:D7"/>
    <mergeCell ref="F5:G5"/>
    <mergeCell ref="F6:F7"/>
    <mergeCell ref="G6:G7"/>
  </mergeCells>
  <pageMargins left="0.62992125984251968" right="0.62992125984251968" top="0.74803149606299213" bottom="0.74803149606299213" header="0.31496062992125984" footer="0.31496062992125984"/>
  <pageSetup paperSize="9" scale="85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24</vt:i4>
      </vt:variant>
    </vt:vector>
  </HeadingPairs>
  <TitlesOfParts>
    <vt:vector size="44" baseType="lpstr">
      <vt:lpstr>Tabela Nr 1</vt:lpstr>
      <vt:lpstr>Tabela Nr 2</vt:lpstr>
      <vt:lpstr>Tabela Nr 3</vt:lpstr>
      <vt:lpstr>Tabela Nr 4</vt:lpstr>
      <vt:lpstr>Załącznik Nr 1</vt:lpstr>
      <vt:lpstr>Załącznik Nr 2</vt:lpstr>
      <vt:lpstr>Załącznik Nr 3</vt:lpstr>
      <vt:lpstr>Załącznik Nr 4</vt:lpstr>
      <vt:lpstr>Załącznik Nr 5</vt:lpstr>
      <vt:lpstr>Załącznik Nr 6</vt:lpstr>
      <vt:lpstr>Załącznik Nr 7</vt:lpstr>
      <vt:lpstr>Załącznik Nr 8</vt:lpstr>
      <vt:lpstr>Załącznik Nr 9</vt:lpstr>
      <vt:lpstr>Załącznik Nr 10</vt:lpstr>
      <vt:lpstr>Załącznik Nr 11</vt:lpstr>
      <vt:lpstr>Zał Nr 12 adm.rząd.doch.</vt:lpstr>
      <vt:lpstr>Zał Nr 12 adm.rzad.wyd.</vt:lpstr>
      <vt:lpstr>adm.rząd. dofin.</vt:lpstr>
      <vt:lpstr>Załącznik Nr 13</vt:lpstr>
      <vt:lpstr>Załącznik Nr 14</vt:lpstr>
      <vt:lpstr>'Tabela Nr 1'!Obszar_wydruku</vt:lpstr>
      <vt:lpstr>'Tabela Nr 2'!Obszar_wydruku</vt:lpstr>
      <vt:lpstr>'Tabela Nr 3'!Obszar_wydruku</vt:lpstr>
      <vt:lpstr>'Tabela Nr 4'!Obszar_wydruku</vt:lpstr>
      <vt:lpstr>'Zał Nr 12 adm.rzad.wyd.'!Obszar_wydruku</vt:lpstr>
      <vt:lpstr>'Zał Nr 12 adm.rząd.doch.'!Obszar_wydruku</vt:lpstr>
      <vt:lpstr>'Załącznik Nr 1'!Obszar_wydruku</vt:lpstr>
      <vt:lpstr>'Załącznik Nr 10'!Obszar_wydruku</vt:lpstr>
      <vt:lpstr>'Załącznik Nr 11'!Obszar_wydruku</vt:lpstr>
      <vt:lpstr>'Załącznik Nr 13'!Obszar_wydruku</vt:lpstr>
      <vt:lpstr>'Załącznik Nr 14'!Obszar_wydruku</vt:lpstr>
      <vt:lpstr>'Załącznik Nr 2'!Obszar_wydruku</vt:lpstr>
      <vt:lpstr>'Załącznik Nr 3'!Obszar_wydruku</vt:lpstr>
      <vt:lpstr>'Załącznik Nr 4'!Obszar_wydruku</vt:lpstr>
      <vt:lpstr>'Załącznik Nr 5'!Obszar_wydruku</vt:lpstr>
      <vt:lpstr>'Załącznik Nr 6'!Obszar_wydruku</vt:lpstr>
      <vt:lpstr>'Załącznik Nr 7'!Obszar_wydruku</vt:lpstr>
      <vt:lpstr>'Załącznik Nr 8'!Obszar_wydruku</vt:lpstr>
      <vt:lpstr>'Załącznik Nr 9'!Obszar_wydruku</vt:lpstr>
      <vt:lpstr>'Tabela Nr 1'!Tytuły_wydruku</vt:lpstr>
      <vt:lpstr>'Tabela Nr 2'!Tytuły_wydruku</vt:lpstr>
      <vt:lpstr>'Tabela Nr 3'!Tytuły_wydruku</vt:lpstr>
      <vt:lpstr>'Tabela Nr 4'!Tytuły_wydruku</vt:lpstr>
      <vt:lpstr>'Zał Nr 12 adm.rzad.wyd.'!Tytuły_wydruku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2015-01-28T10:23:23Z</dcterms:modified>
</cp:coreProperties>
</file>