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DOCHODYzal 10" sheetId="10" r:id="rId10"/>
    <sheet name="WYDATKI zał10 " sheetId="11" r:id="rId11"/>
    <sheet name="ZAŁ. NR 11" sheetId="12" r:id="rId12"/>
    <sheet name="ZAŁ. NR 12 " sheetId="13" r:id="rId13"/>
    <sheet name="ZAŁ NR 13 " sheetId="14" r:id="rId14"/>
    <sheet name="ZAŁ. NR 14 " sheetId="15" r:id="rId15"/>
    <sheet name="ZAŁ. NR 15 " sheetId="16" r:id="rId16"/>
  </sheets>
  <definedNames>
    <definedName name="_xlnm.Print_Area" localSheetId="9">'DOCHODYzal 10'!$A$1:$E$57</definedName>
    <definedName name="_xlnm.Print_Area" localSheetId="10">'WYDATKI zał10 '!$A$1:$K$31</definedName>
    <definedName name="_xlnm.Print_Area" localSheetId="13">'ZAŁ NR 13 '!$A$1:$D$8</definedName>
    <definedName name="_xlnm.Print_Area" localSheetId="0">'ZAŁ. NR 1'!$A$1:$D$205</definedName>
    <definedName name="_xlnm.Print_Area" localSheetId="11">'ZAŁ. NR 11'!$A$1:$G$14</definedName>
    <definedName name="_xlnm.Print_Area" localSheetId="12">'ZAŁ. NR 12 '!$A$1:$F$35</definedName>
    <definedName name="_xlnm.Print_Area" localSheetId="14">'ZAŁ. NR 14 '!$A$1:$F$8</definedName>
    <definedName name="_xlnm.Print_Area" localSheetId="15">'ZAŁ. NR 15 '!$A$2:$R$40</definedName>
    <definedName name="_xlnm.Print_Area" localSheetId="1">'ZAŁ. NR 2'!$A$1:$Q$132</definedName>
    <definedName name="_xlnm.Print_Area" localSheetId="2">'ZAŁ. NR 3'!$A$1:$E$55</definedName>
    <definedName name="_xlnm.Print_Area" localSheetId="3">'ZAŁ. NR 4'!$A$1:$F$30</definedName>
    <definedName name="_xlnm.Print_Area" localSheetId="4">'ZAŁ. NR 5'!$A$1:$E$17</definedName>
    <definedName name="_xlnm.Print_Area" localSheetId="5">'ZAŁ. NR 6'!$A$1:$E$7</definedName>
    <definedName name="_xlnm.Print_Area" localSheetId="6">'ZAŁ. NR 7'!$A$1:$H$14</definedName>
    <definedName name="_xlnm.Print_Area" localSheetId="7">'ZAŁ. NR 8'!$A$1:$H$12</definedName>
    <definedName name="_xlnm.Print_Area" localSheetId="8">'ZAŁ. NR 9'!$A$1:$J$18</definedName>
    <definedName name="_xlnm.Print_Titles" localSheetId="15">'ZAŁ. NR 15 '!$6:$7</definedName>
    <definedName name="_xlnm.Print_Titles" localSheetId="1">'ZAŁ. NR 2'!$4:$7</definedName>
  </definedNames>
  <calcPr fullCalcOnLoad="1"/>
</workbook>
</file>

<file path=xl/sharedStrings.xml><?xml version="1.0" encoding="utf-8"?>
<sst xmlns="http://schemas.openxmlformats.org/spreadsheetml/2006/main" count="882" uniqueCount="522">
  <si>
    <t>6.</t>
  </si>
  <si>
    <t>5.</t>
  </si>
  <si>
    <t>4.</t>
  </si>
  <si>
    <t>2.</t>
  </si>
  <si>
    <t>1.</t>
  </si>
  <si>
    <t>Wyszczególnienie</t>
  </si>
  <si>
    <t>I</t>
  </si>
  <si>
    <t>DOCHODY OGÓŁEM  w tym:</t>
  </si>
  <si>
    <t>A</t>
  </si>
  <si>
    <t>1</t>
  </si>
  <si>
    <t>2</t>
  </si>
  <si>
    <t>B</t>
  </si>
  <si>
    <t>Udział w podatkach stanowiących dochód budżetu państwa</t>
  </si>
  <si>
    <t>Dotacje celowe na zadania z zakresu administracji rządowej</t>
  </si>
  <si>
    <t>Dotacje celowe na zadania własne</t>
  </si>
  <si>
    <t>Środki z budżetu Unii Europejskiej</t>
  </si>
  <si>
    <t>II</t>
  </si>
  <si>
    <t>Przychody, w tym:</t>
  </si>
  <si>
    <t>A.</t>
  </si>
  <si>
    <t>Kredyt długoterminowy</t>
  </si>
  <si>
    <t>B.</t>
  </si>
  <si>
    <t>III.</t>
  </si>
  <si>
    <t>RAZEM DOCHODY I PRZYCHODY (I+II)</t>
  </si>
  <si>
    <t>IV.</t>
  </si>
  <si>
    <t>WYDATKI OGÓŁEM w tym:</t>
  </si>
  <si>
    <t>Wydatki bieżące, w tym:</t>
  </si>
  <si>
    <t>Wymagane poręczenia</t>
  </si>
  <si>
    <t xml:space="preserve">b) kredytów zaciągniętych w latach poprzednich </t>
  </si>
  <si>
    <t>Wydatki majątkowe</t>
  </si>
  <si>
    <t>V.</t>
  </si>
  <si>
    <t>WYNIK ( I - IV )</t>
  </si>
  <si>
    <t>VI.</t>
  </si>
  <si>
    <t>ROZCHODY</t>
  </si>
  <si>
    <t>Spłata zaciągniętych kredytów, ogółem</t>
  </si>
  <si>
    <t>b) planowany (bieżący) kredyt</t>
  </si>
  <si>
    <t>VII.</t>
  </si>
  <si>
    <t>VIII.</t>
  </si>
  <si>
    <t>IX.</t>
  </si>
  <si>
    <t>Stan zadłużenia na koniec roku poprzedzającego rok budżetowy</t>
  </si>
  <si>
    <t>X.</t>
  </si>
  <si>
    <t>BIEŻĄCE</t>
  </si>
  <si>
    <t>MAJĄTKOWE</t>
  </si>
  <si>
    <t>3</t>
  </si>
  <si>
    <t>4</t>
  </si>
  <si>
    <t>Stan zadłużenia na koniec roku budżetowego (IX+IIA-VIA)</t>
  </si>
  <si>
    <t>RAZEM WYDATKI + ROZCHODY 
(IV + VI)</t>
  </si>
  <si>
    <t>KWOTA POTENCJALNYCH SPŁAT 
(IVA1+IV A 2+ VI A)</t>
  </si>
  <si>
    <t>Koszty obsługi kredytów, w tym;</t>
  </si>
  <si>
    <t xml:space="preserve">Dochody ze sprzedaży mienia  </t>
  </si>
  <si>
    <t>Pozostałe dochody własne</t>
  </si>
  <si>
    <t>7.</t>
  </si>
  <si>
    <t>Subwencje ogółem (wyrównawcza + oświatowa + regionalna)</t>
  </si>
  <si>
    <t xml:space="preserve">a) wykup obligacji, raty kredytów zaciągniętych w latach poprzednich </t>
  </si>
  <si>
    <t>8.</t>
  </si>
  <si>
    <t>ROK</t>
  </si>
  <si>
    <t>dotacje z budżetu państwa na finansowanie/współfinansowanie projektów realizowanych z udziałem środków UE</t>
  </si>
  <si>
    <t>Prognoza łącznej kwoty długu Województwa Podkarpackiego na koniec 2010 r. i lata następne</t>
  </si>
  <si>
    <t>a) kredytu  planowanego do zaciągnięcia w 2010 r.</t>
  </si>
  <si>
    <t>SZCZEGÓŁOWY PODZIAŁ  DOCHODÓW WEDŁUG DZIAŁÓW I ŹRÓDEŁ</t>
  </si>
  <si>
    <t>w złotych</t>
  </si>
  <si>
    <t>Dział</t>
  </si>
  <si>
    <t>Rozdz.</t>
  </si>
  <si>
    <t>Źródło pochodzenia</t>
  </si>
  <si>
    <t>Plan na
 2010 r.</t>
  </si>
  <si>
    <t>010</t>
  </si>
  <si>
    <t>ROLNICTWO I ŁOWIECTWO</t>
  </si>
  <si>
    <t>01005</t>
  </si>
  <si>
    <t>Prace geodezyjno-urządzeniowe na potrzeby rolnictwa</t>
  </si>
  <si>
    <t>a) dochody bieżące, w tym:</t>
  </si>
  <si>
    <t xml:space="preserve">Dotacje celowe otrzymane z budżetu państwa na zadania bieżące z zakresu administracji rządowej oraz inne zadania zlecone ustawami realizowane przez samorząd województwa </t>
  </si>
  <si>
    <t>b) dochody majątkowe</t>
  </si>
  <si>
    <t>01006</t>
  </si>
  <si>
    <t>Zarządy Melioracji i Urządzeń Wodnych</t>
  </si>
  <si>
    <t>Dochody realizowane przez Podkarpacki Zarząd Melioracji i Urządzeń Wodnych w Rzeszowie z tytułu wynajmu pomieszczeń biurowych, zwrotu opłat za media, partycypacji w kosztach utrzymania czystości klatki schodowej</t>
  </si>
  <si>
    <t>01008</t>
  </si>
  <si>
    <t>Melioracje wodne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</si>
  <si>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</si>
  <si>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</si>
  <si>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Dotacje celowe otrzymane z budżetu państwa na inwestycje i zakupy inwestycyjne z zakresu administracji rządowej oraz inne zadania zlecone ustawami realizowane przez samorząd województwa </t>
  </si>
  <si>
    <t>01041</t>
  </si>
  <si>
    <t>Program rozwoju obszarów wiejskich 2007 - 2013</t>
  </si>
  <si>
    <t>01078</t>
  </si>
  <si>
    <t>Usuwanie skutków klęsk żywiołowych</t>
  </si>
  <si>
    <t>a) dochody bieżące</t>
  </si>
  <si>
    <t>Dotacje celowe otrzymane z budżetu państwa na inwestycje i zakupy inwestycyjne z zakresu administracji rządowej oraz inne zadania zlecone ustawami realizowane przez samorząd województwa</t>
  </si>
  <si>
    <t>050</t>
  </si>
  <si>
    <t>RYBOŁÓWSTWO I RYBACTWO</t>
  </si>
  <si>
    <t>05011</t>
  </si>
  <si>
    <t>Program Operacyjny Zrównoważony rozwój sektora rybołówstwa i nadbrzeżnych obszarów rybackich 2007 - 2013</t>
  </si>
  <si>
    <t>TRANSPORT I ŁĄCZNOŚĆ</t>
  </si>
  <si>
    <t>Krajowe pasażerskie przewozy autobusowe</t>
  </si>
  <si>
    <t>Lokalny transport zbiorowy</t>
  </si>
  <si>
    <t>Opłaty za wydawanie zezwoleń na regularny przewóz osób oraz wykonanie analizy sytuacji rynkowej w zbiorowym transporcie drogowym</t>
  </si>
  <si>
    <t>Drogi publiczne wojewódzkie</t>
  </si>
  <si>
    <t>Dochody realizowane przez Podkarpacki Zarząd Dróg Wojewódzkich w Rzeszowie z tytułu wynagrodzenia płatnika za rozliczenie i terminowe wpłaty podatku dochodowego od osób fizycznych oraz od wypłaconych świadczeń z ubezpieczenia chorobowego</t>
  </si>
  <si>
    <t xml:space="preserve">Środki pochodzące z  budżetu Unii Europejskiej na realizację projektów w ramach Programu Operacyjnego Rozwój Polski Wschodniej </t>
  </si>
  <si>
    <t>GOSPODARKA MIESZKANIOWA</t>
  </si>
  <si>
    <t>Gospodarka gruntami i nieruchomościami</t>
  </si>
  <si>
    <t>Opłaty za zarząd i wieczyste użytkowanie</t>
  </si>
  <si>
    <t xml:space="preserve">Dochody z najmu i dzierżawy składników majątkowych Skarbu Państwa </t>
  </si>
  <si>
    <t>Dochody ze sprzedaży mienia będącego w zasobie Województwa</t>
  </si>
  <si>
    <t>DZIAŁALNOŚĆ USŁUGOWA</t>
  </si>
  <si>
    <t>Biura planowania przestrzennego</t>
  </si>
  <si>
    <t>Dochody realizowane przez Podkarpackie Biuro Planowania Przestrzennego w Rzeszowie z tytułu sprzedaży usług projektowych</t>
  </si>
  <si>
    <t>Ośrodki dokumentacji geodezyjnej i kartograficznej</t>
  </si>
  <si>
    <t>Prace geodezyjne i kartograficzne (nieinwestycyjne)</t>
  </si>
  <si>
    <t>Pozostała działalność</t>
  </si>
  <si>
    <t>ADMINISTRACJA PUBLICZNA</t>
  </si>
  <si>
    <t>Urzędy naczelnych i centralnych organów administracji rządowej</t>
  </si>
  <si>
    <t xml:space="preserve">Środki pochodzące z budżetu Unii Europejskiej na realizację projektu pn. "System Informacji o Funduszach Europejskich" w ramach Programu Operacyjnego Pomoc Techniczna </t>
  </si>
  <si>
    <t xml:space="preserve">Dotacja celowa budżetu państwa na współfinansowanie projektu pn. "System Informacji o Funduszach Europejskich" w ramach Programu Operacyjnego Pomoc Techniczna </t>
  </si>
  <si>
    <t>Urzędy wojewódzkie</t>
  </si>
  <si>
    <t>Dotacje celowe z budżetu państwa na realizację bieżących zadań własnych samorządu województwa</t>
  </si>
  <si>
    <t>Urzędy marszałkowskie</t>
  </si>
  <si>
    <t>Dochody realizowane przez Urząd Marszałkowski z tytułu najmu i dzierżawy pomieszczeń i lokalu mieszkalnego, zwrotu opłat za media, refundacji wynagrodzeń i składek ZUS osób zatrudnionych w ramach prac interwencyjnych, kar umownych za nieterminowe dostawy, kosztów upomnień dotyczących opłaty melioracyjnej, udostępniania informacji o środowisku</t>
  </si>
  <si>
    <t>Środki pochodzące z budżetu Unii Europejskiej jako zwrot wydatków poniesionych ze środków własnych na zadania realizowane w ramach umowy grantowej z Komisją Europejską na utworzenie Podkarpackiej Agencji Energetycznej</t>
  </si>
  <si>
    <t>Komisje egzaminacyjne</t>
  </si>
  <si>
    <t>Centrum Rozwoju Zasobów Ludzkich</t>
  </si>
  <si>
    <t>Środki pochodzące z budżetu Unii Europejskiej na realizację zadania pn. "Wsparcie Regionalnych Ośrodków Polityki Społecznej w zakresie utworzenia Obserwatorium Integracji Społecznej" realizowanego w ramach POKL</t>
  </si>
  <si>
    <t>Dotacja celowa budżetu państwa na współfinansowanie realizacji zadania pn. "Wsparcie Regionalnych Ośrodków Polityki Społecznej w zakresie utworzenia Obserwatorium Integracji Społecznej" realizowanego w ramach POKL</t>
  </si>
  <si>
    <t>Promocja jednostek samorządu terytorialnego</t>
  </si>
  <si>
    <t>Środki pochodzące z budżetu Unii Europejskiej na realizację projektu pn. " Transgraniczny produkt  turystyczny - Zaklęte w drewnie" w ramach Programu Współpracy Transgranicznej Rzeczypospolita Polska - Republika Słowacka 2007 - 2013</t>
  </si>
  <si>
    <t>OBRONA NARODOWA</t>
  </si>
  <si>
    <t>Pozostałe wydatki obronne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</si>
  <si>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</si>
  <si>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</si>
  <si>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za zezwolenia na hurtową sprzedaż alkoholu</t>
  </si>
  <si>
    <t>Dochody realizowane przez w Wojewódzki Urząd Pracy w Rzeszowie z tytułu wydawanych zaświadczeń stwierdzających charakter, okres i rodzaj działalności wykonywanej w RP</t>
  </si>
  <si>
    <t>Udziały województw w podatkach stanowiących dochód budżetu państwa</t>
  </si>
  <si>
    <t>Udział w podatku dochodowym od osób fizycznych</t>
  </si>
  <si>
    <t>Udział w podatku dochodowym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</si>
  <si>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</si>
  <si>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</si>
  <si>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</si>
  <si>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</si>
  <si>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</si>
  <si>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</si>
  <si>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</si>
  <si>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Regionalne Programy Operacyjne 2007 - 2013</t>
  </si>
  <si>
    <t>Dotacja celowa z budżetu państwa na finansowanie wydatków objętych Pomocą Techniczną RPO WP</t>
  </si>
  <si>
    <t xml:space="preserve">Środki pochodzące z budżetu Unii Europejskiej na realizację projektów własnych w ramach RPO WP </t>
  </si>
  <si>
    <t>Dotacja celowa budżetu państwa na finansowanie wydatków objętych Pomocą Techniczną RPO WP</t>
  </si>
  <si>
    <t>Program Operacyjny Kapitał Ludzki</t>
  </si>
  <si>
    <t>Środki pochodzące z budżetu Unii Europejskiej na realizację projektów własnych w ramach POKL</t>
  </si>
  <si>
    <t>Dotacja celowa z budżetu państwa na współfinansowanie projektów w ramach POKL</t>
  </si>
  <si>
    <t>OŚWIATA I WYCHOWANIE</t>
  </si>
  <si>
    <t xml:space="preserve">Dokształcanie i doskonalenie nauczycieli </t>
  </si>
  <si>
    <t>Środki pochodzące z  budżetu Unii Europejskiej na realizację projektu pn. "Szkoła Kluczowych Kompetencji. Program rozwijania umiejętności uczniów szkół Polski Wschodniej" w ramach POKL</t>
  </si>
  <si>
    <t>Dotacja celowa z budżetu państwa na współfinansowanie projektu pn. "Szkoła Kluczowych Kompetencji. Program rozwijania umiejętności uczniów szkół Polski Wschodniej" w ramach POKL</t>
  </si>
  <si>
    <t>OCHRONA ZDROWIA</t>
  </si>
  <si>
    <t>Ratownictwo medyczne</t>
  </si>
  <si>
    <t>Składki na ubezpieczenie zdrowotne oraz świadczenia dla osób nieobjętych obowiązkiem ubezpieczenia zdrowotnego</t>
  </si>
  <si>
    <t>POMOC SPOŁECZNA</t>
  </si>
  <si>
    <t>Świadczenia rodzinne, świadczenie z funduszu alimentacyjnego oraz składki na ubezpieczenia emerytalne i rentowe z ubezpieczenia społecznego</t>
  </si>
  <si>
    <t>Regionalne ośrodki polityki społecznej</t>
  </si>
  <si>
    <t xml:space="preserve">Dotacje otrzymane z funduszy celowych na realizację zadań bieżących jednostek sektora finansów publicznych </t>
  </si>
  <si>
    <t>POZOSTAŁE ZADANIA W ZAKRESIE POLITYKI SPOŁECZNEJ</t>
  </si>
  <si>
    <t>Wojewódzkie Urzędy Pracy</t>
  </si>
  <si>
    <t>Dochody realizowane przez Wojewódzki Urząd Pracy w Rzeszowie z tytułu zwrotów za media</t>
  </si>
  <si>
    <t>Dotacja celowa z budżetu państwa na finansowanie wydatków objętych Pomocą Techniczną POKL</t>
  </si>
  <si>
    <t>Dotacja celowa z budżetu państwa na współfinansowanie wydatków objętych Pomocą Techniczną POKL</t>
  </si>
  <si>
    <t>GOSPODARKA KOMUNALNA I OCHRONA ŚRODOWISKA</t>
  </si>
  <si>
    <t>Wpływy i wydatki związane z gromadzeniem środków z opłat i kar za korzystanie ze środowiska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</si>
  <si>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</si>
  <si>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</si>
  <si>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odpisu od wpływów z tytułu opłaty produktowej</t>
  </si>
  <si>
    <t>KULTURA I OCHRONA DZIEDZICTWA NARODOWEGO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</si>
  <si>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</si>
  <si>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</si>
  <si>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</si>
  <si>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OGRODY BOTANICZNE I ZOOLOGICZNE ORAZ NATURALNE OBSZARY I OBIEKTY CHRONIONEJ PRZYRODY</t>
  </si>
  <si>
    <t>Parki krajobrazowe</t>
  </si>
  <si>
    <t>Dotacje celowe otrzymane z budżetu państwa na realizację bieżących zadań własnych samorządu województwa</t>
  </si>
  <si>
    <t>DOCHODY OGÓŁEM</t>
  </si>
  <si>
    <t>bieżące</t>
  </si>
  <si>
    <t>SZCZEGÓŁOWY PODZIAŁ WYDATKÓW</t>
  </si>
  <si>
    <t>Rozdział</t>
  </si>
  <si>
    <t>Wydatki
ogółem</t>
  </si>
  <si>
    <t>z tego:</t>
  </si>
  <si>
    <t>Wydatki
bieżące</t>
  </si>
  <si>
    <t>w tym:</t>
  </si>
  <si>
    <t>Wydatki
majątkowe</t>
  </si>
  <si>
    <t>Wydatki
jednostek
budżetowych</t>
  </si>
  <si>
    <t>w tym na:</t>
  </si>
  <si>
    <t>Dotacje na
zadania
bieżące</t>
  </si>
  <si>
    <t>Świadczenia
na rzecz osób fizycznych</t>
  </si>
  <si>
    <t>Wydatki na programy finansowane
z udziałem środków UE
i źródeł zagranicznych</t>
  </si>
  <si>
    <t>Wypłaty z tytułu
poręczeń i gwarancji</t>
  </si>
  <si>
    <t>Obsługa
długu JST</t>
  </si>
  <si>
    <t>Inwestycje
i zakupy
inwestycyjne</t>
  </si>
  <si>
    <t>Zakup i
objęcie
akcji i
udziałów</t>
  </si>
  <si>
    <t>Wniesienie
wkładów do
spółek prawa
handlowego</t>
  </si>
  <si>
    <t>wynagrodzenia
i składki od
nich naliczane</t>
  </si>
  <si>
    <t>wydatki
związane
z realizacją
ich 
statutowych
zadań</t>
  </si>
  <si>
    <t>programy finansowane
z udziałem środków UE oraz źródeł zagranicznych</t>
  </si>
  <si>
    <t>01009</t>
  </si>
  <si>
    <t>01095</t>
  </si>
  <si>
    <t>150</t>
  </si>
  <si>
    <t>15095</t>
  </si>
  <si>
    <t>600</t>
  </si>
  <si>
    <t>60001</t>
  </si>
  <si>
    <t>60003</t>
  </si>
  <si>
    <t>60004</t>
  </si>
  <si>
    <t>60013</t>
  </si>
  <si>
    <t>GT</t>
  </si>
  <si>
    <t>GG</t>
  </si>
  <si>
    <t>60095</t>
  </si>
  <si>
    <t>630</t>
  </si>
  <si>
    <t>63003</t>
  </si>
  <si>
    <t>700</t>
  </si>
  <si>
    <t>70005</t>
  </si>
  <si>
    <t>710</t>
  </si>
  <si>
    <t>71003</t>
  </si>
  <si>
    <t>71012</t>
  </si>
  <si>
    <t>71013</t>
  </si>
  <si>
    <t>71095</t>
  </si>
  <si>
    <t>720</t>
  </si>
  <si>
    <t>72095</t>
  </si>
  <si>
    <t>730</t>
  </si>
  <si>
    <t>73095</t>
  </si>
  <si>
    <t>750</t>
  </si>
  <si>
    <t>75011</t>
  </si>
  <si>
    <t>RR</t>
  </si>
  <si>
    <t>OR</t>
  </si>
  <si>
    <t>75017</t>
  </si>
  <si>
    <t>75018</t>
  </si>
  <si>
    <t>RR RPO</t>
  </si>
  <si>
    <t>RR PO PT</t>
  </si>
  <si>
    <t>PI</t>
  </si>
  <si>
    <t>WP</t>
  </si>
  <si>
    <t>75046</t>
  </si>
  <si>
    <t>75071</t>
  </si>
  <si>
    <t>75075</t>
  </si>
  <si>
    <t>GM</t>
  </si>
  <si>
    <t>RŚ</t>
  </si>
  <si>
    <t>PS</t>
  </si>
  <si>
    <t>75095</t>
  </si>
  <si>
    <t>KS</t>
  </si>
  <si>
    <t>752</t>
  </si>
  <si>
    <t>75212</t>
  </si>
  <si>
    <t>754</t>
  </si>
  <si>
    <t>75415</t>
  </si>
  <si>
    <t>757</t>
  </si>
  <si>
    <t>75702</t>
  </si>
  <si>
    <t>75704</t>
  </si>
  <si>
    <t>758</t>
  </si>
  <si>
    <t>75818</t>
  </si>
  <si>
    <t>EK</t>
  </si>
  <si>
    <t>OG</t>
  </si>
  <si>
    <t>ZARZ KR</t>
  </si>
  <si>
    <t>801</t>
  </si>
  <si>
    <t>803</t>
  </si>
  <si>
    <t>851</t>
  </si>
  <si>
    <t>852</t>
  </si>
  <si>
    <t>853</t>
  </si>
  <si>
    <t>854</t>
  </si>
  <si>
    <t>85420</t>
  </si>
  <si>
    <t>900</t>
  </si>
  <si>
    <t>90001</t>
  </si>
  <si>
    <t>90019</t>
  </si>
  <si>
    <t>90020</t>
  </si>
  <si>
    <t>90095</t>
  </si>
  <si>
    <t>921</t>
  </si>
  <si>
    <t>92105</t>
  </si>
  <si>
    <t>92106</t>
  </si>
  <si>
    <t>92108</t>
  </si>
  <si>
    <t>92109</t>
  </si>
  <si>
    <t>92110</t>
  </si>
  <si>
    <t>92114</t>
  </si>
  <si>
    <t>92116</t>
  </si>
  <si>
    <t>92118</t>
  </si>
  <si>
    <t>92120</t>
  </si>
  <si>
    <t>92195</t>
  </si>
  <si>
    <t>925</t>
  </si>
  <si>
    <t>92502</t>
  </si>
  <si>
    <t>926</t>
  </si>
  <si>
    <t>92601</t>
  </si>
  <si>
    <t>92605</t>
  </si>
  <si>
    <t>OGÓŁEM</t>
  </si>
  <si>
    <t xml:space="preserve">SZCZEGÓŁOWY PODZIAŁ DOTACJI PODMIOTOWYCH  
DLA JEDNOSTEK SEKTORA FINANSÓW PUBLICZNYCH I JEDNOSTKEK SPOZA SEKTORA FINANSÓW PUBLICZNYCH  </t>
  </si>
  <si>
    <t>1. Dotacje dla jednostek sektora finansów publicznych</t>
  </si>
  <si>
    <t>Lp.</t>
  </si>
  <si>
    <t>Nazwa jednostki</t>
  </si>
  <si>
    <t>Kwota w złotych</t>
  </si>
  <si>
    <t>Muzeum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</si>
  <si>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</si>
  <si>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</si>
  <si>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</si>
  <si>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</si>
  <si>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</si>
  <si>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</si>
  <si>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</si>
  <si>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</si>
  <si>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</si>
  <si>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</si>
  <si>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</si>
  <si>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Filharmonia im. A. Malawskiego w Rzeszowie</t>
  </si>
  <si>
    <t>Galeria Sztuki Współczesnej w Przemyślu</t>
  </si>
  <si>
    <t>Arboretum i Zakład Fizjografii w Bolestraszycach</t>
  </si>
  <si>
    <t>Wojewódzka i Miejska Biblioteka Publiczna 
w Rzeszowie</t>
  </si>
  <si>
    <t>Razem: Instytucje kultury</t>
  </si>
  <si>
    <t xml:space="preserve">Uniwersytet Rzeszowski w Rzeszowie </t>
  </si>
  <si>
    <t>Politechnika Rzeszowska w Rzeszowie</t>
  </si>
  <si>
    <t>Państwowa Wyższa Szkoła Wschodnioeuropejska w Przemyślu</t>
  </si>
  <si>
    <t>Państwowa Wyższa Szkoła Zawodowa w Tarnobrzegu</t>
  </si>
  <si>
    <t>Państwowa Wyższa Szkoła Zawodowa w Krośnie</t>
  </si>
  <si>
    <t>Państwowa Wyższa Szkoła Zawodowa w Sanoku</t>
  </si>
  <si>
    <t>Wydział Zamiejscowy Nauk o Społeczeństwie w Stalowej Woli Katolickiego Uniwersytetu Lubelskiego</t>
  </si>
  <si>
    <t>Wydział Rozwoju Regionalnego Uniwersytetu Ekonomicznego w Krakowie z siedzibą w Dębicy</t>
  </si>
  <si>
    <t>Razem: Szkoły wyższe</t>
  </si>
  <si>
    <t>Wojewódzki Szpital Specjalistyczny IM. Fryderyka Chopina w Rzeszowie</t>
  </si>
  <si>
    <t>Szpital Wojewódzki Nr 2 w Rzeszowie</t>
  </si>
  <si>
    <t>Wojewódzki Szpital im. Ojca Pio w Przemyślu</t>
  </si>
  <si>
    <t>Wojewódzki Szpital Podkarpacki im. Jana Pawla II w Krośnie</t>
  </si>
  <si>
    <t>Specjalistyczny Zespół Gruźlicy i Chorób Płuc w Rzeszowie</t>
  </si>
  <si>
    <t>Razem: Szpitale ogólne</t>
  </si>
  <si>
    <t>Wojewódzki Zespół Specjalistyczny w Rzeszowie</t>
  </si>
  <si>
    <t xml:space="preserve">Wojewódzkiego Ośrodka Medycyny Pracy w Rzeszowie </t>
  </si>
  <si>
    <t>Razem: SPZOZ</t>
  </si>
  <si>
    <t>Zakład Aktywności Zawodowej w Maliniu</t>
  </si>
  <si>
    <t>Razem: ZAZ</t>
  </si>
  <si>
    <t xml:space="preserve"> OGÓŁEM</t>
  </si>
  <si>
    <t>2. Dotacje dla jednostek spoza sektora finansów publicznych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</si>
  <si>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</si>
  <si>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</si>
  <si>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</si>
  <si>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</si>
  <si>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</si>
  <si>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</si>
  <si>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 xml:space="preserve">SZCZEGÓŁOWY PODZIAŁ DOTACJI CELOWYCH Z BUDŻETU DLA JEDNOSTEK SEKTORA FINANSÓW PUBLICZNYCH NA FINANSOWANIE LUB DOFINANSOWANIE KOSZTÓW REALIZACJI INWESTYCJI I ZAKUPÓW INWESTYCYJNYCH </t>
  </si>
  <si>
    <t>Kwota 
w złotych</t>
  </si>
  <si>
    <t>Przeznaczenie dotacji</t>
  </si>
  <si>
    <t>Rozbudowa i modernizacja Szpitala Wojewódzkiego Nr 2 w Rzeszowie - 10.021.935,- zł - WPI
Modernizacja i rozbudowa Szpitalnego Oddziału Ratunkowego w Szpitalu Wojewódzkim Nr 2 w Rzeszowie - 8.581.103,- zł - WPI</t>
  </si>
  <si>
    <t>Wojewódzki Szpital w Przemyślu</t>
  </si>
  <si>
    <t>Modernizacja Wojewódzkiego Szpitala w Przemyślu  - WPI</t>
  </si>
  <si>
    <t xml:space="preserve">Remont i modernizacja pomieszczeń Zakładu Diagnostyki Laboratoryjnej oraz Zakładu Patomorfologi wraz z prosekturą - WPI </t>
  </si>
  <si>
    <t>Wojewódzki Szpital Specjalistyczny
im. Fryderyka Chopina w Rzeszowie</t>
  </si>
  <si>
    <t>Modernizacja i rozbudowa Podkarpackiego Centrum Onkologii + aparatura i wyposażenie - 675.000,- zł - WPI
Modernizacja (zmiana lokalizacji) pomieszczeń dla Oddziału Noworodków z Intensywną Opieką Medyczną - 2.015.000,- zł - WPI</t>
  </si>
  <si>
    <t>Wojewódzki Szpital Podkarpacki
im. Jana Pawła II w Krośnie</t>
  </si>
  <si>
    <t>Rozbudowa i modernizacja Wojewódzkiego Szpitala Podkarpackiego im. Jana Pawła II w Krośnie - 6.350.000,- zł - WPI
Dostosowanie budynku pod potrzeby Poradni Chorób Zakaźnych, Oddziału Odwykowego i Poradni Odwykowej -890.000,- zł - WPI</t>
  </si>
  <si>
    <t>Wojewódzki Szpital im. Zofii z Zamoyskich Tarnowskiej w Tarnobrzegu</t>
  </si>
  <si>
    <t>Rozbudowa i modernizacja Wojewódzkiego Szpitala w Tarnobrzegu - WPI</t>
  </si>
  <si>
    <t>Specjalistyczny Psychiatryczny Zespół Opieki Zdrowotnej im. prof. Antoniego Kępińskiego w Jarosławiu</t>
  </si>
  <si>
    <t>Wojewódzki Podkarpacki Szpital Psychiatryczny im. prof. Eugeniusza Brzezickiego w Żurawicy</t>
  </si>
  <si>
    <t>Inwestycja polegająca na dostosowaniu Oddziału Psychiatrycznego Ogólnego Nr 1 do obowiązujących przepisów - 880.000,- zł - WPI
Inwestycja polegająca na dostosowaniu Oddziału Psychiatrycznego Ogólnego Nr 2 do obowiązujących przepisów - 1.900.000,- zł - WPI
Inwestycja polegająca na modernizacji budynku Nr 2 z przeznaczeniem na Oddział Psychiatryczny - 820.000,- zł - WPI
Dokończenie prac związanych z modernizacją budynku nr 4 - Oddziału Terapii Uzależnienia od Alkoholu - 150.000,- zł,
Wykonanie praz związanych z modernizacją i ulepszeń w budynku przy Focha 31 w Przemyślu - 800.000,- zł</t>
  </si>
  <si>
    <t>Wojewódzki Zespół Specjalistyczny
 w Rzeszowie</t>
  </si>
  <si>
    <t>Modernizacja poradni urologicznej - WPI</t>
  </si>
  <si>
    <t xml:space="preserve">Zakup i uruchomienie urządzenia Rezonansu Magnetycznego wraz z oprogramowaniem PACS/RIS oraz adaptacja pomieszczeń </t>
  </si>
  <si>
    <t>Filharmonia im. Artura Malawskiego 
w Rzeszowie</t>
  </si>
  <si>
    <t>Rozbudowa, przebudowa i remont budynku Filharmonii im. Artura Malawskiego w Rzeszowie - WPI</t>
  </si>
  <si>
    <t>Kompleksowa modernizacja, odnowa i ochrona budynku Centrum Kulturalnego w Przemyślu</t>
  </si>
  <si>
    <t>Zakup kserokopiarki</t>
  </si>
  <si>
    <t>Zakup sprzętu multimedialnego i kserokopiarki</t>
  </si>
  <si>
    <t>Arboretum i Zakład Fizjografii
w Bolestraszycach</t>
  </si>
  <si>
    <r>
      <t xml:space="preserve">Kaplica - Modernizacja - 57.000,- zł
Ochrona </t>
    </r>
    <r>
      <rPr>
        <i/>
        <sz val="10"/>
        <rFont val="Arial"/>
        <family val="2"/>
      </rPr>
      <t xml:space="preserve">ex i In situ </t>
    </r>
    <r>
      <rPr>
        <sz val="10"/>
        <rFont val="Arial"/>
        <family val="2"/>
      </rPr>
      <t>różanecznika i ostrożenia siedmiogrodzkiego oraz utrzymanie stanowisk zagrożonych i rzadkich roślin kwaśnolubnych w Arboretum Bolestraszyce - 138.689,- zł</t>
    </r>
  </si>
  <si>
    <t>Zakup eksponatów - 35.000,- zł
Dostawa i montaż kamer, czujek i osprzęt do budynku głównego - 70.000,- zł
Zakup klimatyzatora - 5.000,- zł
Zakup specjalistycznego sprzętu do konserwacji i obróbki papieru - 5.350,- zł</t>
  </si>
  <si>
    <t>Budowa "Muzeum Polaków ratujących Żydów na Podkarpaciu im. Rodziny Ulmów" w Markowej - 500.000,- zł
Zakup kosiarki samojezdnej do trawy - 40.000,- zł</t>
  </si>
  <si>
    <t>Muzeum Budownictwa Ludowego 
w Sanoku</t>
  </si>
  <si>
    <r>
      <t>Galicyjski Rynek, budowa sektora miejskiego w Parku Etnograficznym w Sanoku - 4.402.897,- zł - WPI
Zakup eksponatów - 2</t>
    </r>
    <r>
      <rPr>
        <sz val="10"/>
        <color indexed="8"/>
        <rFont val="Arial"/>
        <family val="2"/>
      </rPr>
      <t>3.000,- zł
zakup wykaszarki, pilarki i teleobiektywu i telekonwertera - 12.000,- zł</t>
    </r>
  </si>
  <si>
    <t>Muzeum Kultury Ludowej w Kolbuszowej</t>
  </si>
  <si>
    <t>Utworzenie ośrodka edukacji regionalnej - "Dawna szkoła" - 303.859,- zł - WPI
Przeniesienie i zestawienie zespołu kościelnego p.w. św. Marka Ewangelisty wraz z wyposażeniem i wystrojem z Mielca - Rzochowa do Parku Etnograficznego Muzeum Kultury Ludowej w Kolbuszowej - 316.000,- zł WPI
Kanalizacja ruchu turystycznego na obszarze Natura 2000 w Puszczy Sandomierskiej - budowa miejsc postojowych dla samochodów oraz wiaty rekreacyjnej - 40.000,- zł
Zakup eksponatów - 15.000,- zł</t>
  </si>
  <si>
    <t>Skansen Archeologiczny: "Karpacka Troja" w Trzcinicy atrakcją turystyczną regionu - 55.124,- zł - WPI
Zakup eksponatów - 10.000,- zł,
Zakup szafy klimatyzacyjnej - 30.000,- zł</t>
  </si>
  <si>
    <t>Muzeum Narodowe Ziemi Przemyskiej 
w Przemyślu</t>
  </si>
  <si>
    <t>Zakup regałów, gablot i innego wyposażenia do przechowywania i ekspozycji zbiorów</t>
  </si>
  <si>
    <t>Muzeum Marii konopnickiej w Żarnowcu</t>
  </si>
  <si>
    <t>Zakup sprzętu multimedialnego - 15.000,- zł
Zakup osprzętu do mikrociągnika ogrodniczego AVANT 220 - 20.000,- zł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</si>
  <si>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</si>
  <si>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w  złotych</t>
  </si>
  <si>
    <t xml:space="preserve">Wydatki  bieżące </t>
  </si>
  <si>
    <t>w  tym :  
DOTACJE</t>
  </si>
  <si>
    <t>na realizację " Programu wsparcia działalności spółek wodnych funkcjonujących na terenie Województwa Podkarpackiego" zgodnie z trybem postępowania o udzielenie jednostkom niezaliczanym do sektora finansów publicznych z budżetu Województwa Podkarpackiego dotacji na cele publiczne związane z realizacją jego zadań, sposobu jej rozliczenia oraz sposobu kontroli</t>
  </si>
  <si>
    <t>na realizację zadań z zakresu kontroli trwałości projektów realizowanych w ramach Działań 2.5 i 3.4 Zintegrowanego Programu Operacyjnego Rozwoju Regionalnego 2004 - 2006, zgodnie z trybem postępowania o udzielenie jednostkom niezaliczanym do sektora finansów publicznych z budżetu Województwa Podkarpackiego dotacji na cele publiczne związane z realizacją jego zadań, sposobu jej rozliczenia oraz sposobu kontroli</t>
  </si>
  <si>
    <t>na wspieranie zadań publicznych zleconych do realizacji organizacjom pozarządowym polegających na poprawie bezpieczeństwa turystów w górach położonych na terenie województwa</t>
  </si>
  <si>
    <t xml:space="preserve">na realizację „Programu współpracy Województwa Podkarpackiego z organizacjami pozarządowymi w 2010 r.” w dziedzinie nauki, edukacji, oświaty i wychowania </t>
  </si>
  <si>
    <t>85153</t>
  </si>
  <si>
    <t xml:space="preserve">na zadania i cele publiczne z zakresu przeciwdziałania narkomanii w ramach "Wojewódzkiego Programu Przeciwdziałania Narkomanii na lata 2008 - 2011" </t>
  </si>
  <si>
    <t>85154</t>
  </si>
  <si>
    <t>na zadania i cele publiczne z zakresu wychowania w trzeźwości i przeciwdziałania alkoholizmowi, zatrudnienia socjalnego, przeciwdziałania przemocy w rodzinie  w ramach "Wojewódzkiego Programu Profilaktyki i Rozwiązywania Problemów Alkoholowych na lata 2007 - 2013"</t>
  </si>
  <si>
    <t>85217</t>
  </si>
  <si>
    <t>na zadania i cele z zakresu pomocy społecznej obejmujące rozpoznawanie i zwalczanie przyczyn ubóstwa, promowanie nowych rozwiązań w zakresie pomocy społecznej w ramach "Wojewódzkiego Programu Pomocy Społecznej na lata 2009 - 2015"</t>
  </si>
  <si>
    <t>85311</t>
  </si>
  <si>
    <t>na zadania i cele z zakresu rehabilitacji zawodowej i społecznej oraz zatrudniania osób niepełnosprawnych tj. współpraca z organizacjami pozarządowymi i fundacjami działającymi na rzecz osób niepełnosprawnych w ramach "Wojewódzkiego Programu na Rzecz Wyrównywania Szans Osób Niepełnosprawnych i Przeciwdziałania ich Wykluczeniu Społecznemu na lata 2008 - 2020"</t>
  </si>
  <si>
    <t xml:space="preserve">na zadania i cele publiczne z zakresu kultury obejmujące organizacje imprez, wydarzeń kulturalnych i przedsięwzięć artystycznych służących upowszechnianiu działalności kulturalnej o charakterze ponadlokalnym </t>
  </si>
  <si>
    <t>na zadania i cele z zakresu ochrony i konserwacji zabytków - szczegółowy podział dotacji zgodnie z zasadami udzielania dotacji dokonany zostanie odrębną uchwałą Sejmiku Województwa</t>
  </si>
  <si>
    <t>na zadania i cele publiczne z zakresu kultury fizycznej i sportu obejmujące szkolenie młodzieży należącej do kadry, imprezy i zawody sportowe dla dzieci i młodzieży z terenu województwa o zasięgu ponadlokalnym oraz przedsięwzięcia służące popularyzacji i upowszechnianiu sportu</t>
  </si>
  <si>
    <t xml:space="preserve">OGÓŁEM </t>
  </si>
  <si>
    <t xml:space="preserve"> PODZIAŁ  I ZAKRES DOTACJI  PRZEDMIOTOWYCH DLA JEDNOSTEK SPOZA SEKTORA FINANSÓW PUBLICZNYCH</t>
  </si>
  <si>
    <t>w  tym :  DOTACJE</t>
  </si>
  <si>
    <t xml:space="preserve">Zakres </t>
  </si>
  <si>
    <t>Dotowanie regionalnych oraz niektórych międzywojewódzkich kolejowych przewozów pasażerskich</t>
  </si>
  <si>
    <t>Dopłaty dla przewoźników z tyt. stosowania ustawowych ulg 
w regularnych krajowych pasażerskich przewozach autobusowych</t>
  </si>
  <si>
    <t>WYDATKI  NA  POMOC  FINANSOWĄ  UDZIELANĄ  INNYM  JEDNOSTKOM  SAMORZĄDU  TERYTORIALNEGO
NA  DOFINANSOWANIE  WŁASNYCH ZADAŃ BIEŻĄCYCH ORAZ ZADAŃ INWESTYCYJNYCH 
I  ZAKUPÓW  INWESTYCYJNYCH</t>
  </si>
  <si>
    <t>Nazwa</t>
  </si>
  <si>
    <t>w tym na wydatki:</t>
  </si>
  <si>
    <t>Jednostka samorządu</t>
  </si>
  <si>
    <t>Przeznaczenie</t>
  </si>
  <si>
    <t>inwestycyjne</t>
  </si>
  <si>
    <t>EDUKACYJNA OPIEKA WYCHOWAWCZA</t>
  </si>
  <si>
    <t>Młodzieżowe ośrodki wychowawcze</t>
  </si>
  <si>
    <t>Powiat Lubaczowski</t>
  </si>
  <si>
    <t>Wydatki związane z prowadzeniem przez Powiat Młodzieżowego Ośrodka Wychowawczego wchodzącego w skład Zespołu Placówek im. Jana Pawła II w Lubaczowie</t>
  </si>
  <si>
    <t>GOSPODARKA KOMUNALNA 
I OCHRONA ŚRODOWISKA</t>
  </si>
  <si>
    <t>Gospodarka ściekowa i ochrona wód</t>
  </si>
  <si>
    <t>Gmina Trzebownisko</t>
  </si>
  <si>
    <t>Wykonanie sieci odprowadzania wód opadowych z terenu Podkarpackiego Parku Naukowo - Technologicznego w strefie S1 Jasionka oraz terenów Gminy Trzebownisko</t>
  </si>
  <si>
    <t>KULTURA FIZYCZNA I SPORT</t>
  </si>
  <si>
    <t>Obiekty sportowe</t>
  </si>
  <si>
    <t>Gminy</t>
  </si>
  <si>
    <t>Realizacja programu rządowego "Moje boisko - Orlik 2012" - wg wykazu zawartego w Uchwale Sejmiku</t>
  </si>
  <si>
    <t>WYDATKI OGÓŁEM</t>
  </si>
  <si>
    <t xml:space="preserve">ZESTAWIENIE PLANU DOTACJI CELOWYCH NA ZADANIA POWIERZONE DO REALIZACJI 
INNYM JEDNOSTKOM SAMORZĄDU TERYTORIALNEGO </t>
  </si>
  <si>
    <t>Województwo Warmińsko-Mazurskie</t>
  </si>
  <si>
    <t>Realizacja porozumienia dotyczącego organizowania i zapewnienia technicznych warunków do prowadzenia wspólnego przedstawicielstwa województw pn. Dom Polski Wschodniej w Brukseli</t>
  </si>
  <si>
    <t>85111</t>
  </si>
  <si>
    <t>Szpitale ogólne</t>
  </si>
  <si>
    <t>Gmina Krosno</t>
  </si>
  <si>
    <t>Zakup sprzętu medycznego związane z realizacją projektu pn. Wywoływanie efektu synergii działań w wyniku jednoczesnego wdrażania programów profilaktyki i promocji zdrowia oraz kompleksowej opieki perinatalnej w ramach Norweskiego Mechanizmu Finansowego i Mechanizmu Finansowego Europejskiego Obszaru Gospodarczego</t>
  </si>
  <si>
    <t xml:space="preserve">ZESTAWIENIE  DOCHODÓW  I  WYDATKÓW  ZWIĄZANYCH  
Z  REALIZACJĄ  ZADAŃ  WSPÓLNYCH  REALIZOWANYCH  NA  PODSTAWIE 
POROZUMIEŃ  MIĘDZY  JEDNOSTKAMI  SAMORZĄDU  TERYTORIALNEGO </t>
  </si>
  <si>
    <t xml:space="preserve">DOCHODY Z TYTUŁU DOTACJI OTRZYMANYCH NA PODSTWIE POROZUMIEŃ 
Z JEDNOSTKAMI SAMORZADU TERYTORIALNEGO  </t>
  </si>
  <si>
    <t xml:space="preserve">Rozdział </t>
  </si>
  <si>
    <t>Paragraf</t>
  </si>
  <si>
    <t>Kwota</t>
  </si>
  <si>
    <t>Biblioteki</t>
  </si>
  <si>
    <t xml:space="preserve">WYDATKI  NA  ZADANIA  REALIZOWANE  NA  PODSTWIE  POROZUMIEŃ  
Z  JEDNOSTKAMI  SAMORZADU  TERYTORIALNEGO  </t>
  </si>
  <si>
    <t>Wydatki 
OGÓŁEM</t>
  </si>
  <si>
    <t>Wydatki 
bieżące</t>
  </si>
  <si>
    <t>Wydatki 
majątkowe</t>
  </si>
  <si>
    <t>wynagro-
dzenia i 
pochodne</t>
  </si>
  <si>
    <t>dotacje</t>
  </si>
  <si>
    <t>pozostałe 
wydatki bieżące</t>
  </si>
  <si>
    <t>KULTURA I OCHRONA 
DZIEDZICTWA NARODOWEGO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</si>
  <si>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</si>
  <si>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</si>
  <si>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Prace geodezyjno - urządzeniowe na potrzeby rolnictwa</t>
  </si>
  <si>
    <t>2210</t>
  </si>
  <si>
    <t>Spółki wodne</t>
  </si>
  <si>
    <t>Program Rozwoju Obszarów Wiejskich 2007-2013</t>
  </si>
  <si>
    <t>Program Operacyjny Zrównoważony rozwój sektora rybołówstwa 
i nadbrzeżnych obszarów rybackich 2007-2013</t>
  </si>
  <si>
    <t>2218</t>
  </si>
  <si>
    <t>2219</t>
  </si>
  <si>
    <t>6518</t>
  </si>
  <si>
    <t>OCHRONA  ZDROWIA</t>
  </si>
  <si>
    <t>85141</t>
  </si>
  <si>
    <t>85156</t>
  </si>
  <si>
    <t>Składki na ubezpieczenie zdrowotne oraz świadczenia 
dla osób nieobjętych obowiązkiem ubezpieczenia zdrowotnego</t>
  </si>
  <si>
    <t>85212</t>
  </si>
  <si>
    <t>Świadczenia rodzinne, świadczenie z funduszu alimentacyjnego oraz składki
na ubezpieczenia emerytalne i rentowe z ubezpieczenia społecznego</t>
  </si>
  <si>
    <t>85332</t>
  </si>
  <si>
    <t>Wojewódzkie urzędy pracy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</si>
  <si>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</si>
  <si>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</si>
  <si>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Wydatki jednostek budżetowych</t>
  </si>
  <si>
    <t>Dotacje na zadania bieżace</t>
  </si>
  <si>
    <t>Świadczenia na rzecz osób fizycznych</t>
  </si>
  <si>
    <t>wynagro-
dzenia i 
składki od nich naliczane</t>
  </si>
  <si>
    <t>wydatki związane z realizacjąich statutowych zadań</t>
  </si>
  <si>
    <t>Program Rozwoju Obszarów Wiejskich 
2007-2013</t>
  </si>
  <si>
    <t>Program Operacyjny Zrównoważony rozwój sektora rybołówstwa 
i nadbrzeżnych obszarów rybackich 
2007-2013</t>
  </si>
  <si>
    <t>Ośrodki dokumentacji 
geodezyjnej i kartograficznej</t>
  </si>
  <si>
    <t>PLAN  DOCHODÓW  PODLEGAJĄCYCH  PRZEKAZANIU  DO  BUDŻETU  PAŃSTWA ORAZ STANOWIĄCYCH DOCHÓD BUDŻETU WOJEWÓDZTWA ZWIĄZANYCH  Z  REALIZACJĄ  ZADAŃ  Z  ZAKRESU  ADMINISTRACJI  RZĄDOWEJ</t>
  </si>
  <si>
    <t>Dochody
OGÓŁEM</t>
  </si>
  <si>
    <t>w tym: podlegające przekazaniu</t>
  </si>
  <si>
    <t xml:space="preserve">do budżetu państwa </t>
  </si>
  <si>
    <t>do budżetu samorządu</t>
  </si>
  <si>
    <t xml:space="preserve">ZESTAWIENIE  PLANU  PRZYCHODÓW  I  WYDATKÓW
DOCHODÓW WŁASNYCH JEDNOSTEK BUDŻETOWYCH  </t>
  </si>
  <si>
    <t>Nazwa  jednostki</t>
  </si>
  <si>
    <t>Przychody</t>
  </si>
  <si>
    <t>Wydatki</t>
  </si>
  <si>
    <t>3.</t>
  </si>
  <si>
    <t xml:space="preserve">Zespół  Szkół  przy  Szpitalu  Wojewódzkim  Nr 2  
w  Rzeszowie                 </t>
  </si>
  <si>
    <t xml:space="preserve">Zespół  Szkół  Specjalnych  w  Rymanowie  Zdroju  </t>
  </si>
  <si>
    <t>Medyczna Szkoła Policealna  w  Przemyślu</t>
  </si>
  <si>
    <t>Medyczna Szkoła Policealna w  Jaśle</t>
  </si>
  <si>
    <t>Medyczna Szkoła Policealna  w  Sanoku</t>
  </si>
  <si>
    <t>Medyczna Szkoła Policealna  w  Łańcucie</t>
  </si>
  <si>
    <t>Medyczna Szkoła Policealna  w  Mielcu</t>
  </si>
  <si>
    <t>Medyczna Szkoła Policealna  w  Stalowej  Woli</t>
  </si>
  <si>
    <t>Medyczna Szkoła Policealna  w  Rzeszowie</t>
  </si>
  <si>
    <t>Kolegium Pracowników Służb Społecznych w Rzeszowie</t>
  </si>
  <si>
    <t>Kolegium  Nauczycielskie  w  Przemyślu</t>
  </si>
  <si>
    <t>Nauczycielskie Kolegium Języków Obcych w Dębicy</t>
  </si>
  <si>
    <t>Nauczycielskie Kolegium Języków Obcych w Nisku</t>
  </si>
  <si>
    <t>Nauczycielskie Kolegium Języków Obcych w Ropczycach</t>
  </si>
  <si>
    <t>Zespół Kolegiów  Nauczycielskich  w  Tarnobrzegu</t>
  </si>
  <si>
    <t xml:space="preserve">Nauczycielskie Kolegium Języków Obcych 
w Przemyślu  </t>
  </si>
  <si>
    <t>Nauczycielskie Kolegium Języków Obcych 
w Rzeszowie</t>
  </si>
  <si>
    <t>Nauczycielskie Kolegium Języków Obcych w Leżajsku</t>
  </si>
  <si>
    <t>Nauczycielskie Kolegium Języków Obcych w Mielcu</t>
  </si>
  <si>
    <t>Nauczycielskie Kolegium Języków Obcych w Przeworsku</t>
  </si>
  <si>
    <t>Podkarpackie Centrum Edukacji Nauczycieli w Rzeszowie</t>
  </si>
  <si>
    <t>Pedagogiczna  Biblioteka  Wojewódzka  w 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</si>
  <si>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</si>
  <si>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</si>
  <si>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</si>
  <si>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Podkarpackie  Biuro  Planowania  Przestrzennego
w  Rzeszowie</t>
  </si>
  <si>
    <t>Podkarpacki  Zarząd  Dróg  Wojewódzkich  
w  Rzeszowie</t>
  </si>
  <si>
    <t>ZESTAWIENIE  PLANU  PRZYCHODÓW  I  KOSZTÓW
ZAKŁADÓW BUDŻETOWYCH ORAZ GOSPODARSTW POMOCNICZYCH</t>
  </si>
  <si>
    <t>Jednostka</t>
  </si>
  <si>
    <t>Koszty</t>
  </si>
  <si>
    <t>Podkarpackie Biuro Geodezji i Terenów Rolnych w Rzeszowie</t>
  </si>
  <si>
    <t>Gospodarstwo pomocnicze przy Podkarpackim  Zarządzie Melioracji i Urządzeń Wodnych  w  Rzeszowie</t>
  </si>
  <si>
    <t>ZESTAWIENIE  PLANU  PRZYCHODÓW  I  WYDATKÓW
FUNDUSZY CELOWYCH</t>
  </si>
  <si>
    <t>Stan funduszu na początek roku</t>
  </si>
  <si>
    <t>Stan funduszu na koniec roku</t>
  </si>
  <si>
    <t>Fundusz Ochrony Gruntów Rolnych</t>
  </si>
  <si>
    <t>Fundusz Gospodarki Zasobem Geodezyjnym i Kartograficznym</t>
  </si>
  <si>
    <t>Modernizacja i rozbudowa Budynku Nr 2 - 320.000,- zł
Modernizacja i rozbudowa Budyneku Nr 3 - 3.300.000,- zł - WPI
Zakup pierwszego wyposażenia dla Izby Przyjęć i Oddziału Psychiatrycznego Budynku Nr 3  - 200.000,-zł</t>
  </si>
  <si>
    <t>Załącznik Nr 1
do  Uchwały Nr XLI/764/09
Sejmiku Województwa Podkarpackiego 
 w Rzeszowie  z dnia  28 grudnia 2009 r.</t>
  </si>
  <si>
    <t>Załącznik Nr 2
do  Uchwały Nr XLI/764/09
Sejmiku Województwa Podkarpackiego 
 w Rzeszowie  z dnia  28 grudnia 2009 r.</t>
  </si>
  <si>
    <t>Załącznik Nr 3
do  Uchwały Nr XLI/764/09
Sejmiku Województwa Podkarpackiego 
 w Rzeszowie  z dnia  28 grudnia 2009 r.</t>
  </si>
  <si>
    <t>Załącznik Nr 4
do  Uchwały Nr XLI/764/09
Sejmiku Województwa Podkarpackiego 
 w Rzeszowie  z dnia  28 grudnia 2009 r.</t>
  </si>
  <si>
    <t>Załącznik  Nr 5
do  Uchwały Nr XLI/764/09
Sejmiku Województwa Podkarpackiego 
 w Rzeszowie  z dnia  28 grudnia 2009 r.</t>
  </si>
  <si>
    <t>Załącznik  Nr 6
do  Uchwały Nr XLI/764/09
Sejmiku Województwa Podkarpackiego 
 w Rzeszowie  z dnia  28 grudnia 2009 r.</t>
  </si>
  <si>
    <t>Załącznik  Nr 7
do  Uchwały Nr XLI/764/09
Sejmiku Województwa Podkarpackiego 
 w Rzeszowie  z dnia  28 grudnia 2009 r.</t>
  </si>
  <si>
    <t>Załącznik  Nr 8
do  Uchwały Nr XLI/764/09
Sejmiku Województwa Podkarpackiego 
 w Rzeszowie  z dnia  28 grudnia 2009 r.</t>
  </si>
  <si>
    <t xml:space="preserve"> Załącznik Nr 9
do  Uchwały Nr XLI/764/09
Sejmiku Województwa Podkarpackiego 
 w Rzeszowie  z dnia  28 grudnia 2009 r.</t>
  </si>
  <si>
    <t xml:space="preserve"> Załącznik Nr 10
do  Uchwały Nr XLI/764/09
Sejmiku Województwa Podkarpackiego 
 w Rzeszowie  z dnia  28 grudnia 2009 r.</t>
  </si>
  <si>
    <t xml:space="preserve"> Załącznik Nr 11
do  Uchwały Nr XLI/764/09
Sejmiku Województwa Podkarpackiego 
 w Rzeszowie  z dnia  28 grudnia 2009 r.</t>
  </si>
  <si>
    <t>Załącznik  Nr 12
do  Uchwały Nr XLI/764/09
Sejmiku Województwa Podkarpackiego 
 w Rzeszowie  z dnia  28 grudnia 2009 r.</t>
  </si>
  <si>
    <t>Załącznik  Nr 13
do  Uchwały Nr XLI/764/09
Sejmiku Województwa Podkarpackiego 
 w Rzeszowie  z dnia  28 grudnia 2009 r.</t>
  </si>
  <si>
    <t>Załącznik  Nr 14
do  Uchwały Nr XLI/764/09
Sejmiku Województwa Podkarpackiego 
 w Rzeszowie  z dnia  28 grudnia 2009 r.</t>
  </si>
  <si>
    <t>Załącznik Nr 15
do  Uchwały Nr XLI/764/09
Sejmiku Województwa Podkarpackiego 
 w Rzeszowie  z dnia  28 grudnia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</si>
</sst>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7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name val="Times New Roman CE"/>
      <family val="0"/>
    </font>
    <font>
      <i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sz val="12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0"/>
    </font>
    <font>
      <b/>
      <i/>
      <sz val="8"/>
      <name val="Arial"/>
      <family val="2"/>
    </font>
    <font>
      <b/>
      <sz val="8"/>
      <name val="Arial CE"/>
      <family val="0"/>
    </font>
    <font>
      <i/>
      <sz val="8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sz val="11"/>
      <name val="Arial"/>
      <family val="2"/>
    </font>
    <font>
      <sz val="14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i/>
      <sz val="10"/>
      <color indexed="8"/>
      <name val="Arial"/>
      <family val="2"/>
    </font>
    <font>
      <b/>
      <sz val="12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83"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11" fillId="33" borderId="12" xfId="0" applyNumberFormat="1" applyFont="1" applyFill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11" fillId="34" borderId="12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164" fontId="11" fillId="31" borderId="12" xfId="0" applyNumberFormat="1" applyFont="1" applyFill="1" applyBorder="1" applyAlignment="1">
      <alignment horizontal="right" vertical="center"/>
    </xf>
    <xf numFmtId="2" fontId="7" fillId="0" borderId="11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164" fontId="75" fillId="0" borderId="11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 wrapText="1"/>
    </xf>
    <xf numFmtId="164" fontId="8" fillId="0" borderId="14" xfId="0" applyNumberFormat="1" applyFont="1" applyFill="1" applyBorder="1" applyAlignment="1">
      <alignment horizontal="right" vertical="center"/>
    </xf>
    <xf numFmtId="2" fontId="7" fillId="0" borderId="15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right" vertical="center"/>
    </xf>
    <xf numFmtId="49" fontId="9" fillId="0" borderId="14" xfId="0" applyNumberFormat="1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164" fontId="0" fillId="0" borderId="17" xfId="0" applyNumberForma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11" fillId="0" borderId="17" xfId="0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/>
    </xf>
    <xf numFmtId="164" fontId="8" fillId="0" borderId="17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75" fillId="0" borderId="13" xfId="0" applyNumberFormat="1" applyFont="1" applyBorder="1" applyAlignment="1">
      <alignment vertical="center"/>
    </xf>
    <xf numFmtId="0" fontId="9" fillId="33" borderId="20" xfId="0" applyFont="1" applyFill="1" applyBorder="1" applyAlignment="1">
      <alignment horizontal="left" vertical="center"/>
    </xf>
    <xf numFmtId="0" fontId="9" fillId="31" borderId="20" xfId="0" applyFont="1" applyFill="1" applyBorder="1" applyAlignment="1">
      <alignment horizontal="left" vertical="center"/>
    </xf>
    <xf numFmtId="49" fontId="9" fillId="31" borderId="20" xfId="0" applyNumberFormat="1" applyFont="1" applyFill="1" applyBorder="1" applyAlignment="1">
      <alignment vertical="center" wrapText="1"/>
    </xf>
    <xf numFmtId="49" fontId="9" fillId="35" borderId="20" xfId="0" applyNumberFormat="1" applyFont="1" applyFill="1" applyBorder="1" applyAlignment="1">
      <alignment vertical="center" wrapText="1"/>
    </xf>
    <xf numFmtId="49" fontId="9" fillId="34" borderId="20" xfId="0" applyNumberFormat="1" applyFont="1" applyFill="1" applyBorder="1" applyAlignment="1">
      <alignment vertical="center"/>
    </xf>
    <xf numFmtId="49" fontId="9" fillId="0" borderId="20" xfId="0" applyNumberFormat="1" applyFont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1" borderId="22" xfId="0" applyFont="1" applyFill="1" applyBorder="1" applyAlignment="1">
      <alignment horizontal="center" vertical="center"/>
    </xf>
    <xf numFmtId="49" fontId="9" fillId="31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5" borderId="23" xfId="0" applyNumberFormat="1" applyFont="1" applyFill="1" applyBorder="1" applyAlignment="1">
      <alignment horizontal="center" vertical="center"/>
    </xf>
    <xf numFmtId="165" fontId="0" fillId="0" borderId="0" xfId="59" applyNumberFormat="1" applyFont="1" applyAlignment="1">
      <alignment/>
    </xf>
    <xf numFmtId="0" fontId="2" fillId="0" borderId="0" xfId="51" applyBorder="1" applyAlignment="1">
      <alignment horizontal="center" vertical="center"/>
      <protection/>
    </xf>
    <xf numFmtId="0" fontId="2" fillId="0" borderId="0" xfId="51" applyBorder="1" applyAlignment="1">
      <alignment/>
      <protection/>
    </xf>
    <xf numFmtId="0" fontId="2" fillId="0" borderId="0" xfId="51">
      <alignment/>
      <protection/>
    </xf>
    <xf numFmtId="0" fontId="17" fillId="0" borderId="0" xfId="51" applyFont="1" applyBorder="1" applyAlignment="1">
      <alignment horizontal="center" vertical="center" wrapText="1"/>
      <protection/>
    </xf>
    <xf numFmtId="0" fontId="18" fillId="0" borderId="0" xfId="51" applyFont="1" applyBorder="1" applyAlignment="1">
      <alignment horizontal="right" wrapText="1"/>
      <protection/>
    </xf>
    <xf numFmtId="0" fontId="17" fillId="36" borderId="11" xfId="51" applyFont="1" applyFill="1" applyBorder="1" applyAlignment="1">
      <alignment horizontal="center" vertical="center" wrapText="1"/>
      <protection/>
    </xf>
    <xf numFmtId="0" fontId="19" fillId="36" borderId="11" xfId="51" applyFont="1" applyFill="1" applyBorder="1" applyAlignment="1">
      <alignment horizontal="center" vertical="center" wrapText="1"/>
      <protection/>
    </xf>
    <xf numFmtId="0" fontId="2" fillId="0" borderId="0" xfId="51" applyFill="1">
      <alignment/>
      <protection/>
    </xf>
    <xf numFmtId="0" fontId="17" fillId="37" borderId="11" xfId="51" applyFont="1" applyFill="1" applyBorder="1" applyAlignment="1" quotePrefix="1">
      <alignment horizontal="center" vertical="center" wrapText="1"/>
      <protection/>
    </xf>
    <xf numFmtId="0" fontId="19" fillId="37" borderId="11" xfId="51" applyFont="1" applyFill="1" applyBorder="1" applyAlignment="1">
      <alignment vertical="center" wrapText="1"/>
      <protection/>
    </xf>
    <xf numFmtId="3" fontId="17" fillId="37" borderId="11" xfId="51" applyNumberFormat="1" applyFont="1" applyFill="1" applyBorder="1" applyAlignment="1">
      <alignment vertical="center" wrapText="1"/>
      <protection/>
    </xf>
    <xf numFmtId="0" fontId="2" fillId="38" borderId="0" xfId="51" applyFill="1">
      <alignment/>
      <protection/>
    </xf>
    <xf numFmtId="0" fontId="20" fillId="36" borderId="11" xfId="51" applyFont="1" applyFill="1" applyBorder="1" applyAlignment="1" quotePrefix="1">
      <alignment horizontal="center" vertical="center" wrapText="1"/>
      <protection/>
    </xf>
    <xf numFmtId="0" fontId="21" fillId="36" borderId="11" xfId="51" applyFont="1" applyFill="1" applyBorder="1" applyAlignment="1">
      <alignment vertical="center" wrapText="1"/>
      <protection/>
    </xf>
    <xf numFmtId="3" fontId="20" fillId="36" borderId="11" xfId="51" applyNumberFormat="1" applyFont="1" applyFill="1" applyBorder="1" applyAlignment="1">
      <alignment vertical="center" wrapText="1"/>
      <protection/>
    </xf>
    <xf numFmtId="3" fontId="18" fillId="36" borderId="11" xfId="51" applyNumberFormat="1" applyFont="1" applyFill="1" applyBorder="1" applyAlignment="1">
      <alignment vertical="center" wrapText="1"/>
      <protection/>
    </xf>
    <xf numFmtId="0" fontId="22" fillId="0" borderId="0" xfId="51" applyFont="1">
      <alignment/>
      <protection/>
    </xf>
    <xf numFmtId="0" fontId="23" fillId="36" borderId="11" xfId="51" applyFont="1" applyFill="1" applyBorder="1" applyAlignment="1" quotePrefix="1">
      <alignment horizontal="center" vertical="center" wrapText="1"/>
      <protection/>
    </xf>
    <xf numFmtId="0" fontId="13" fillId="36" borderId="11" xfId="51" applyFont="1" applyFill="1" applyBorder="1" applyAlignment="1">
      <alignment vertical="center" wrapText="1"/>
      <protection/>
    </xf>
    <xf numFmtId="3" fontId="10" fillId="36" borderId="11" xfId="51" applyNumberFormat="1" applyFont="1" applyFill="1" applyBorder="1" applyAlignment="1">
      <alignment vertical="center" wrapText="1"/>
      <protection/>
    </xf>
    <xf numFmtId="0" fontId="18" fillId="36" borderId="11" xfId="51" applyFont="1" applyFill="1" applyBorder="1" applyAlignment="1">
      <alignment horizontal="center" vertical="center" wrapText="1"/>
      <protection/>
    </xf>
    <xf numFmtId="3" fontId="18" fillId="36" borderId="11" xfId="51" applyNumberFormat="1" applyFont="1" applyFill="1" applyBorder="1" applyAlignment="1">
      <alignment vertical="center" wrapText="1"/>
      <protection/>
    </xf>
    <xf numFmtId="49" fontId="20" fillId="36" borderId="11" xfId="51" applyNumberFormat="1" applyFont="1" applyFill="1" applyBorder="1" applyAlignment="1">
      <alignment horizontal="center" vertical="center" wrapText="1"/>
      <protection/>
    </xf>
    <xf numFmtId="3" fontId="17" fillId="36" borderId="11" xfId="51" applyNumberFormat="1" applyFont="1" applyFill="1" applyBorder="1" applyAlignment="1">
      <alignment vertical="center" wrapText="1"/>
      <protection/>
    </xf>
    <xf numFmtId="0" fontId="23" fillId="36" borderId="11" xfId="51" applyFont="1" applyFill="1" applyBorder="1" applyAlignment="1">
      <alignment horizontal="center" vertical="center" wrapText="1"/>
      <protection/>
    </xf>
    <xf numFmtId="0" fontId="2" fillId="36" borderId="11" xfId="51" applyFill="1" applyBorder="1" applyAlignment="1">
      <alignment horizontal="center"/>
      <protection/>
    </xf>
    <xf numFmtId="49" fontId="20" fillId="36" borderId="11" xfId="51" applyNumberFormat="1" applyFont="1" applyFill="1" applyBorder="1" applyAlignment="1">
      <alignment horizontal="center" vertical="center" wrapText="1"/>
      <protection/>
    </xf>
    <xf numFmtId="0" fontId="17" fillId="37" borderId="11" xfId="51" applyFont="1" applyFill="1" applyBorder="1" applyAlignment="1" quotePrefix="1">
      <alignment horizontal="center"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2" fillId="37" borderId="0" xfId="51" applyFill="1">
      <alignment/>
      <protection/>
    </xf>
    <xf numFmtId="49" fontId="20" fillId="36" borderId="11" xfId="51" applyNumberFormat="1" applyFont="1" applyFill="1" applyBorder="1" applyAlignment="1" quotePrefix="1">
      <alignment horizontal="center" vertical="center" wrapText="1"/>
      <protection/>
    </xf>
    <xf numFmtId="3" fontId="24" fillId="36" borderId="11" xfId="51" applyNumberFormat="1" applyFont="1" applyFill="1" applyBorder="1" applyAlignment="1">
      <alignment vertical="center" wrapText="1"/>
      <protection/>
    </xf>
    <xf numFmtId="0" fontId="2" fillId="37" borderId="0" xfId="51" applyFont="1" applyFill="1">
      <alignment/>
      <protection/>
    </xf>
    <xf numFmtId="0" fontId="20" fillId="36" borderId="11" xfId="51" applyFont="1" applyFill="1" applyBorder="1" applyAlignment="1">
      <alignment horizontal="center" vertical="center" wrapText="1"/>
      <protection/>
    </xf>
    <xf numFmtId="3" fontId="10" fillId="36" borderId="11" xfId="51" applyNumberFormat="1" applyFont="1" applyFill="1" applyBorder="1" applyAlignment="1">
      <alignment vertical="center" wrapText="1"/>
      <protection/>
    </xf>
    <xf numFmtId="0" fontId="21" fillId="36" borderId="11" xfId="51" applyFont="1" applyFill="1" applyBorder="1" applyAlignment="1">
      <alignment vertical="center" wrapText="1"/>
      <protection/>
    </xf>
    <xf numFmtId="3" fontId="20" fillId="36" borderId="11" xfId="51" applyNumberFormat="1" applyFont="1" applyFill="1" applyBorder="1" applyAlignment="1">
      <alignment vertical="center" wrapText="1"/>
      <protection/>
    </xf>
    <xf numFmtId="0" fontId="10" fillId="36" borderId="11" xfId="51" applyFont="1" applyFill="1" applyBorder="1" applyAlignment="1">
      <alignment horizontal="left" vertical="center" wrapText="1"/>
      <protection/>
    </xf>
    <xf numFmtId="3" fontId="10" fillId="36" borderId="11" xfId="51" applyNumberFormat="1" applyFont="1" applyFill="1" applyBorder="1" applyAlignment="1">
      <alignment horizontal="right"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0" fillId="37" borderId="11" xfId="51" applyFont="1" applyFill="1" applyBorder="1" applyAlignment="1">
      <alignment horizontal="center" vertical="center" wrapText="1"/>
      <protection/>
    </xf>
    <xf numFmtId="0" fontId="19" fillId="37" borderId="11" xfId="51" applyFont="1" applyFill="1" applyBorder="1" applyAlignment="1">
      <alignment horizontal="left" vertical="center" wrapText="1"/>
      <protection/>
    </xf>
    <xf numFmtId="0" fontId="20" fillId="36" borderId="11" xfId="51" applyFont="1" applyFill="1" applyBorder="1" applyAlignment="1">
      <alignment horizontal="center" vertical="center" wrapText="1"/>
      <protection/>
    </xf>
    <xf numFmtId="0" fontId="21" fillId="36" borderId="11" xfId="51" applyFont="1" applyFill="1" applyBorder="1" applyAlignment="1">
      <alignment horizontal="left" vertical="center" wrapText="1"/>
      <protection/>
    </xf>
    <xf numFmtId="0" fontId="20" fillId="36" borderId="11" xfId="51" applyFont="1" applyFill="1" applyBorder="1" applyAlignment="1">
      <alignment horizontal="left" vertical="center" wrapText="1"/>
      <protection/>
    </xf>
    <xf numFmtId="0" fontId="10" fillId="36" borderId="11" xfId="5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0" fontId="19" fillId="37" borderId="11" xfId="51" applyFont="1" applyFill="1" applyBorder="1" applyAlignment="1">
      <alignment vertical="center" wrapText="1"/>
      <protection/>
    </xf>
    <xf numFmtId="3" fontId="17" fillId="37" borderId="11" xfId="51" applyNumberFormat="1" applyFont="1" applyFill="1" applyBorder="1" applyAlignment="1">
      <alignment vertical="center" wrapText="1"/>
      <protection/>
    </xf>
    <xf numFmtId="0" fontId="3" fillId="37" borderId="0" xfId="51" applyFont="1" applyFill="1">
      <alignment/>
      <protection/>
    </xf>
    <xf numFmtId="0" fontId="17" fillId="37" borderId="11" xfId="51" applyFont="1" applyFill="1" applyBorder="1" applyAlignment="1">
      <alignment horizontal="left" vertical="center" wrapText="1"/>
      <protection/>
    </xf>
    <xf numFmtId="0" fontId="25" fillId="0" borderId="0" xfId="51" applyFont="1">
      <alignment/>
      <protection/>
    </xf>
    <xf numFmtId="0" fontId="26" fillId="0" borderId="0" xfId="51" applyFont="1" applyAlignment="1">
      <alignment vertical="center"/>
      <protection/>
    </xf>
    <xf numFmtId="0" fontId="2" fillId="0" borderId="0" xfId="5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Border="1">
      <alignment/>
      <protection/>
    </xf>
    <xf numFmtId="0" fontId="7" fillId="0" borderId="11" xfId="51" applyFont="1" applyBorder="1" applyAlignment="1">
      <alignment horizontal="center" vertical="center" wrapText="1"/>
      <protection/>
    </xf>
    <xf numFmtId="49" fontId="9" fillId="37" borderId="11" xfId="51" applyNumberFormat="1" applyFont="1" applyFill="1" applyBorder="1" applyAlignment="1">
      <alignment horizontal="center" vertical="center"/>
      <protection/>
    </xf>
    <xf numFmtId="3" fontId="9" fillId="37" borderId="11" xfId="51" applyNumberFormat="1" applyFont="1" applyFill="1" applyBorder="1" applyAlignment="1">
      <alignment vertical="center"/>
      <protection/>
    </xf>
    <xf numFmtId="49" fontId="7" fillId="0" borderId="11" xfId="51" applyNumberFormat="1" applyFont="1" applyBorder="1" applyAlignment="1">
      <alignment horizontal="center" vertical="center"/>
      <protection/>
    </xf>
    <xf numFmtId="3" fontId="7" fillId="0" borderId="11" xfId="51" applyNumberFormat="1" applyFont="1" applyBorder="1" applyAlignment="1">
      <alignment vertical="center"/>
      <protection/>
    </xf>
    <xf numFmtId="49" fontId="7" fillId="6" borderId="11" xfId="51" applyNumberFormat="1" applyFont="1" applyFill="1" applyBorder="1" applyAlignment="1">
      <alignment horizontal="center" vertical="center"/>
      <protection/>
    </xf>
    <xf numFmtId="3" fontId="7" fillId="2" borderId="11" xfId="51" applyNumberFormat="1" applyFont="1" applyFill="1" applyBorder="1" applyAlignment="1">
      <alignment vertical="center"/>
      <protection/>
    </xf>
    <xf numFmtId="3" fontId="7" fillId="6" borderId="11" xfId="51" applyNumberFormat="1" applyFont="1" applyFill="1" applyBorder="1" applyAlignment="1">
      <alignment vertical="center"/>
      <protection/>
    </xf>
    <xf numFmtId="0" fontId="2" fillId="36" borderId="0" xfId="51" applyFill="1">
      <alignment/>
      <protection/>
    </xf>
    <xf numFmtId="49" fontId="7" fillId="36" borderId="11" xfId="51" applyNumberFormat="1" applyFont="1" applyFill="1" applyBorder="1" applyAlignment="1">
      <alignment horizontal="center" vertical="center"/>
      <protection/>
    </xf>
    <xf numFmtId="3" fontId="7" fillId="36" borderId="11" xfId="51" applyNumberFormat="1" applyFont="1" applyFill="1" applyBorder="1" applyAlignment="1">
      <alignment vertical="center"/>
      <protection/>
    </xf>
    <xf numFmtId="0" fontId="16" fillId="6" borderId="11" xfId="51" applyFont="1" applyFill="1" applyBorder="1" applyAlignment="1">
      <alignment horizontal="center" vertical="center"/>
      <protection/>
    </xf>
    <xf numFmtId="0" fontId="29" fillId="37" borderId="11" xfId="51" applyFont="1" applyFill="1" applyBorder="1" applyAlignment="1">
      <alignment horizontal="center" vertical="center"/>
      <protection/>
    </xf>
    <xf numFmtId="0" fontId="16" fillId="36" borderId="11" xfId="51" applyFont="1" applyFill="1" applyBorder="1" applyAlignment="1">
      <alignment horizontal="center" vertical="center"/>
      <protection/>
    </xf>
    <xf numFmtId="3" fontId="3" fillId="36" borderId="11" xfId="51" applyNumberFormat="1" applyFont="1" applyFill="1" applyBorder="1" applyAlignment="1">
      <alignment vertical="center"/>
      <protection/>
    </xf>
    <xf numFmtId="3" fontId="2" fillId="0" borderId="0" xfId="51" applyNumberFormat="1">
      <alignment/>
      <protection/>
    </xf>
    <xf numFmtId="0" fontId="4" fillId="0" borderId="0" xfId="51" applyFont="1">
      <alignment/>
      <protection/>
    </xf>
    <xf numFmtId="0" fontId="10" fillId="0" borderId="0" xfId="51" applyFont="1">
      <alignment/>
      <protection/>
    </xf>
    <xf numFmtId="0" fontId="17" fillId="36" borderId="11" xfId="51" applyFont="1" applyFill="1" applyBorder="1" applyAlignment="1">
      <alignment horizontal="center" vertical="center"/>
      <protection/>
    </xf>
    <xf numFmtId="3" fontId="17" fillId="36" borderId="11" xfId="51" applyNumberFormat="1" applyFont="1" applyFill="1" applyBorder="1" applyAlignment="1">
      <alignment horizontal="center" vertical="center" wrapText="1"/>
      <protection/>
    </xf>
    <xf numFmtId="0" fontId="4" fillId="39" borderId="0" xfId="51" applyFont="1" applyFill="1" applyBorder="1">
      <alignment/>
      <protection/>
    </xf>
    <xf numFmtId="0" fontId="10" fillId="0" borderId="11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vertical="center"/>
      <protection/>
    </xf>
    <xf numFmtId="3" fontId="10" fillId="0" borderId="11" xfId="54" applyNumberFormat="1" applyFont="1" applyBorder="1" applyAlignment="1">
      <alignment vertical="center"/>
      <protection/>
    </xf>
    <xf numFmtId="3" fontId="10" fillId="0" borderId="11" xfId="54" applyNumberFormat="1" applyFont="1" applyFill="1" applyBorder="1" applyAlignment="1">
      <alignment vertical="center"/>
      <protection/>
    </xf>
    <xf numFmtId="3" fontId="10" fillId="0" borderId="11" xfId="51" applyNumberFormat="1" applyFont="1" applyFill="1" applyBorder="1" applyAlignment="1">
      <alignment vertical="center"/>
      <protection/>
    </xf>
    <xf numFmtId="0" fontId="3" fillId="0" borderId="11" xfId="51" applyFont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vertical="center"/>
      <protection/>
    </xf>
    <xf numFmtId="0" fontId="10" fillId="0" borderId="11" xfId="51" applyFont="1" applyBorder="1" applyAlignment="1">
      <alignment vertical="center" wrapText="1"/>
      <protection/>
    </xf>
    <xf numFmtId="3" fontId="10" fillId="0" borderId="11" xfId="51" applyNumberFormat="1" applyFont="1" applyBorder="1" applyAlignment="1">
      <alignment vertical="center"/>
      <protection/>
    </xf>
    <xf numFmtId="3" fontId="3" fillId="37" borderId="11" xfId="51" applyNumberFormat="1" applyFont="1" applyFill="1" applyBorder="1" applyAlignment="1">
      <alignment vertical="center"/>
      <protection/>
    </xf>
    <xf numFmtId="0" fontId="4" fillId="39" borderId="0" xfId="51" applyFont="1" applyFill="1">
      <alignment/>
      <protection/>
    </xf>
    <xf numFmtId="0" fontId="10" fillId="40" borderId="11" xfId="51" applyFont="1" applyFill="1" applyBorder="1" applyAlignment="1">
      <alignment horizontal="center" vertical="center"/>
      <protection/>
    </xf>
    <xf numFmtId="0" fontId="10" fillId="40" borderId="11" xfId="51" applyFont="1" applyFill="1" applyBorder="1" applyAlignment="1">
      <alignment horizontal="left" vertical="center"/>
      <protection/>
    </xf>
    <xf numFmtId="3" fontId="10" fillId="40" borderId="11" xfId="51" applyNumberFormat="1" applyFont="1" applyFill="1" applyBorder="1" applyAlignment="1">
      <alignment vertical="center"/>
      <protection/>
    </xf>
    <xf numFmtId="0" fontId="10" fillId="40" borderId="11" xfId="51" applyFont="1" applyFill="1" applyBorder="1" applyAlignment="1">
      <alignment horizontal="left" vertical="center" wrapText="1"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left" vertical="center" wrapText="1"/>
      <protection/>
    </xf>
    <xf numFmtId="0" fontId="10" fillId="0" borderId="11" xfId="51" applyFont="1" applyFill="1" applyBorder="1" applyAlignment="1">
      <alignment horizontal="left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10" fillId="0" borderId="0" xfId="51" applyFont="1" applyAlignment="1">
      <alignment wrapText="1"/>
      <protection/>
    </xf>
    <xf numFmtId="0" fontId="3" fillId="0" borderId="14" xfId="51" applyFont="1" applyFill="1" applyBorder="1" applyAlignment="1">
      <alignment horizontal="center" vertical="center"/>
      <protection/>
    </xf>
    <xf numFmtId="3" fontId="17" fillId="36" borderId="11" xfId="51" applyNumberFormat="1" applyFont="1" applyFill="1" applyBorder="1" applyAlignment="1">
      <alignment horizontal="right" vertical="center"/>
      <protection/>
    </xf>
    <xf numFmtId="0" fontId="4" fillId="0" borderId="24" xfId="51" applyFont="1" applyBorder="1">
      <alignment/>
      <protection/>
    </xf>
    <xf numFmtId="3" fontId="17" fillId="0" borderId="11" xfId="51" applyNumberFormat="1" applyFont="1" applyBorder="1" applyAlignment="1">
      <alignment vertical="center"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3" fontId="10" fillId="0" borderId="11" xfId="51" applyNumberFormat="1" applyFont="1" applyFill="1" applyBorder="1" applyAlignment="1">
      <alignment horizontal="right" vertical="center"/>
      <protection/>
    </xf>
    <xf numFmtId="3" fontId="10" fillId="0" borderId="11" xfId="51" applyNumberFormat="1" applyFont="1" applyBorder="1" applyAlignment="1">
      <alignment horizontal="right" vertical="center"/>
      <protection/>
    </xf>
    <xf numFmtId="0" fontId="10" fillId="0" borderId="11" xfId="51" applyFont="1" applyBorder="1" applyAlignment="1">
      <alignment horizontal="left" vertical="center" wrapText="1"/>
      <protection/>
    </xf>
    <xf numFmtId="3" fontId="4" fillId="0" borderId="0" xfId="51" applyNumberFormat="1" applyFont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10" fillId="0" borderId="14" xfId="51" applyFont="1" applyBorder="1" applyAlignment="1">
      <alignment horizontal="left" vertical="center" wrapText="1"/>
      <protection/>
    </xf>
    <xf numFmtId="0" fontId="10" fillId="0" borderId="15" xfId="51" applyFont="1" applyBorder="1" applyAlignment="1">
      <alignment horizontal="center" vertical="center"/>
      <protection/>
    </xf>
    <xf numFmtId="164" fontId="4" fillId="0" borderId="0" xfId="51" applyNumberFormat="1" applyFont="1">
      <alignment/>
      <protection/>
    </xf>
    <xf numFmtId="3" fontId="31" fillId="37" borderId="11" xfId="51" applyNumberFormat="1" applyFont="1" applyFill="1" applyBorder="1" applyAlignment="1">
      <alignment vertical="center"/>
      <protection/>
    </xf>
    <xf numFmtId="0" fontId="32" fillId="37" borderId="11" xfId="51" applyFont="1" applyFill="1" applyBorder="1" applyAlignment="1">
      <alignment horizontal="left" vertical="center"/>
      <protection/>
    </xf>
    <xf numFmtId="0" fontId="32" fillId="0" borderId="0" xfId="51" applyFont="1">
      <alignment/>
      <protection/>
    </xf>
    <xf numFmtId="0" fontId="10" fillId="0" borderId="14" xfId="51" applyFont="1" applyBorder="1" applyAlignment="1">
      <alignment horizontal="center" vertical="center"/>
      <protection/>
    </xf>
    <xf numFmtId="0" fontId="10" fillId="0" borderId="0" xfId="51" applyFont="1" applyAlignment="1">
      <alignment vertical="center"/>
      <protection/>
    </xf>
    <xf numFmtId="0" fontId="10" fillId="0" borderId="0" xfId="51" applyFont="1" applyAlignment="1">
      <alignment vertical="center" wrapText="1"/>
      <protection/>
    </xf>
    <xf numFmtId="0" fontId="32" fillId="37" borderId="11" xfId="51" applyFont="1" applyFill="1" applyBorder="1">
      <alignment/>
      <protection/>
    </xf>
    <xf numFmtId="0" fontId="32" fillId="0" borderId="0" xfId="51" applyFont="1" applyFill="1">
      <alignment/>
      <protection/>
    </xf>
    <xf numFmtId="0" fontId="32" fillId="39" borderId="0" xfId="51" applyFont="1" applyFill="1">
      <alignment/>
      <protection/>
    </xf>
    <xf numFmtId="3" fontId="17" fillId="36" borderId="11" xfId="51" applyNumberFormat="1" applyFont="1" applyFill="1" applyBorder="1" applyAlignment="1">
      <alignment vertical="center"/>
      <protection/>
    </xf>
    <xf numFmtId="0" fontId="23" fillId="36" borderId="11" xfId="51" applyFont="1" applyFill="1" applyBorder="1">
      <alignment/>
      <protection/>
    </xf>
    <xf numFmtId="0" fontId="33" fillId="0" borderId="0" xfId="51" applyFont="1">
      <alignment/>
      <protection/>
    </xf>
    <xf numFmtId="0" fontId="18" fillId="0" borderId="0" xfId="51" applyFont="1" applyAlignment="1">
      <alignment horizontal="right" vertical="center"/>
      <protection/>
    </xf>
    <xf numFmtId="0" fontId="18" fillId="0" borderId="0" xfId="51" applyFont="1" applyAlignment="1">
      <alignment horizontal="right"/>
      <protection/>
    </xf>
    <xf numFmtId="0" fontId="20" fillId="0" borderId="11" xfId="51" applyFont="1" applyBorder="1" applyAlignment="1">
      <alignment horizontal="center" vertical="center" wrapText="1"/>
      <protection/>
    </xf>
    <xf numFmtId="49" fontId="24" fillId="0" borderId="11" xfId="51" applyNumberFormat="1" applyFont="1" applyBorder="1" applyAlignment="1">
      <alignment horizontal="center" vertical="center"/>
      <protection/>
    </xf>
    <xf numFmtId="3" fontId="10" fillId="0" borderId="11" xfId="51" applyNumberFormat="1" applyFont="1" applyBorder="1" applyAlignment="1">
      <alignment horizontal="right" vertical="center" wrapText="1"/>
      <protection/>
    </xf>
    <xf numFmtId="0" fontId="24" fillId="0" borderId="14" xfId="51" applyFont="1" applyBorder="1" applyAlignment="1">
      <alignment horizontal="center" vertical="center"/>
      <protection/>
    </xf>
    <xf numFmtId="3" fontId="10" fillId="0" borderId="11" xfId="51" applyNumberFormat="1" applyFont="1" applyFill="1" applyBorder="1" applyAlignment="1">
      <alignment horizontal="right" vertical="center" wrapText="1"/>
      <protection/>
    </xf>
    <xf numFmtId="3" fontId="10" fillId="36" borderId="11" xfId="51" applyNumberFormat="1" applyFont="1" applyFill="1" applyBorder="1" applyAlignment="1">
      <alignment horizontal="right" vertical="center" wrapText="1"/>
      <protection/>
    </xf>
    <xf numFmtId="49" fontId="3" fillId="0" borderId="11" xfId="51" applyNumberFormat="1" applyFont="1" applyBorder="1" applyAlignment="1">
      <alignment horizontal="center" vertical="center"/>
      <protection/>
    </xf>
    <xf numFmtId="3" fontId="10" fillId="36" borderId="11" xfId="51" applyNumberFormat="1" applyFont="1" applyFill="1" applyBorder="1" applyAlignment="1">
      <alignment horizontal="right" vertical="center"/>
      <protection/>
    </xf>
    <xf numFmtId="3" fontId="17" fillId="0" borderId="11" xfId="51" applyNumberFormat="1" applyFont="1" applyBorder="1" applyAlignment="1">
      <alignment horizontal="right" vertical="center"/>
      <protection/>
    </xf>
    <xf numFmtId="0" fontId="34" fillId="0" borderId="0" xfId="51" applyFont="1">
      <alignment/>
      <protection/>
    </xf>
    <xf numFmtId="49" fontId="4" fillId="0" borderId="0" xfId="51" applyNumberFormat="1" applyFont="1" applyAlignment="1">
      <alignment horizontal="center" vertical="center"/>
      <protection/>
    </xf>
    <xf numFmtId="3" fontId="4" fillId="0" borderId="0" xfId="51" applyNumberFormat="1" applyFont="1" applyAlignment="1">
      <alignment horizontal="right" vertical="center"/>
      <protection/>
    </xf>
    <xf numFmtId="0" fontId="2" fillId="0" borderId="0" xfId="51" applyAlignment="1">
      <alignment vertical="center"/>
      <protection/>
    </xf>
    <xf numFmtId="49" fontId="4" fillId="0" borderId="0" xfId="51" applyNumberFormat="1" applyFont="1" applyAlignment="1">
      <alignment horizontal="center"/>
      <protection/>
    </xf>
    <xf numFmtId="3" fontId="4" fillId="0" borderId="0" xfId="51" applyNumberFormat="1" applyFont="1" applyAlignment="1">
      <alignment horizontal="right"/>
      <protection/>
    </xf>
    <xf numFmtId="0" fontId="4" fillId="0" borderId="0" xfId="51" applyFont="1" applyAlignment="1">
      <alignment horizontal="center"/>
      <protection/>
    </xf>
    <xf numFmtId="49" fontId="2" fillId="0" borderId="0" xfId="51" applyNumberFormat="1" applyAlignment="1">
      <alignment horizontal="center" vertical="center"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 vertical="center" wrapText="1"/>
      <protection/>
    </xf>
    <xf numFmtId="0" fontId="2" fillId="0" borderId="0" xfId="51" applyAlignment="1">
      <alignment horizontal="center" wrapText="1"/>
      <protection/>
    </xf>
    <xf numFmtId="0" fontId="20" fillId="0" borderId="11" xfId="51" applyFont="1" applyFill="1" applyBorder="1" applyAlignment="1">
      <alignment horizontal="center" vertical="center"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49" fontId="24" fillId="0" borderId="11" xfId="51" applyNumberFormat="1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center" vertical="center" wrapText="1"/>
      <protection/>
    </xf>
    <xf numFmtId="3" fontId="17" fillId="0" borderId="11" xfId="51" applyNumberFormat="1" applyFont="1" applyFill="1" applyBorder="1" applyAlignment="1">
      <alignment horizontal="right" vertical="center"/>
      <protection/>
    </xf>
    <xf numFmtId="0" fontId="23" fillId="0" borderId="11" xfId="51" applyFont="1" applyFill="1" applyBorder="1" applyAlignment="1">
      <alignment vertical="center"/>
      <protection/>
    </xf>
    <xf numFmtId="0" fontId="34" fillId="0" borderId="0" xfId="51" applyFont="1" applyAlignment="1">
      <alignment vertical="center"/>
      <protection/>
    </xf>
    <xf numFmtId="49" fontId="35" fillId="0" borderId="0" xfId="51" applyNumberFormat="1" applyFont="1" applyAlignment="1">
      <alignment horizontal="center" vertical="center"/>
      <protection/>
    </xf>
    <xf numFmtId="3" fontId="35" fillId="0" borderId="0" xfId="51" applyNumberFormat="1" applyFont="1" applyAlignment="1">
      <alignment horizontal="right"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8" fillId="0" borderId="0" xfId="51" applyFont="1" applyBorder="1" applyAlignment="1">
      <alignment horizontal="right" vertical="center" wrapText="1"/>
      <protection/>
    </xf>
    <xf numFmtId="0" fontId="17" fillId="0" borderId="11" xfId="51" applyFont="1" applyBorder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3" fontId="3" fillId="0" borderId="11" xfId="51" applyNumberFormat="1" applyFont="1" applyBorder="1" applyAlignment="1">
      <alignment horizontal="right" vertical="center"/>
      <protection/>
    </xf>
    <xf numFmtId="3" fontId="24" fillId="0" borderId="11" xfId="51" applyNumberFormat="1" applyFont="1" applyBorder="1" applyAlignment="1">
      <alignment horizontal="right" vertical="center"/>
      <protection/>
    </xf>
    <xf numFmtId="0" fontId="10" fillId="0" borderId="11" xfId="51" applyFont="1" applyBorder="1">
      <alignment/>
      <protection/>
    </xf>
    <xf numFmtId="49" fontId="10" fillId="0" borderId="11" xfId="51" applyNumberFormat="1" applyFont="1" applyBorder="1" applyAlignment="1">
      <alignment horizontal="center" vertical="center"/>
      <protection/>
    </xf>
    <xf numFmtId="49" fontId="10" fillId="0" borderId="11" xfId="51" applyNumberFormat="1" applyFont="1" applyBorder="1" applyAlignment="1">
      <alignment horizontal="center" vertical="center" wrapText="1"/>
      <protection/>
    </xf>
    <xf numFmtId="3" fontId="18" fillId="0" borderId="11" xfId="51" applyNumberFormat="1" applyFont="1" applyBorder="1" applyAlignment="1">
      <alignment horizontal="right" vertical="center"/>
      <protection/>
    </xf>
    <xf numFmtId="3" fontId="10" fillId="0" borderId="11" xfId="51" applyNumberFormat="1" applyFont="1" applyBorder="1" applyAlignment="1">
      <alignment horizontal="center" vertical="center" wrapText="1"/>
      <protection/>
    </xf>
    <xf numFmtId="3" fontId="17" fillId="0" borderId="11" xfId="51" applyNumberFormat="1" applyFont="1" applyBorder="1" applyAlignment="1">
      <alignment horizontal="center" vertical="center" wrapText="1"/>
      <protection/>
    </xf>
    <xf numFmtId="0" fontId="23" fillId="0" borderId="11" xfId="51" applyFont="1" applyBorder="1" applyAlignment="1">
      <alignment horizontal="center" vertical="center" wrapText="1"/>
      <protection/>
    </xf>
    <xf numFmtId="0" fontId="2" fillId="0" borderId="0" xfId="51" applyAlignment="1">
      <alignment horizontal="center" vertical="center" wrapText="1"/>
      <protection/>
    </xf>
    <xf numFmtId="0" fontId="10" fillId="0" borderId="11" xfId="51" applyNumberFormat="1" applyFont="1" applyBorder="1" applyAlignment="1">
      <alignment horizontal="left" vertical="center" wrapText="1"/>
      <protection/>
    </xf>
    <xf numFmtId="0" fontId="4" fillId="0" borderId="0" xfId="51" applyFont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18" fillId="0" borderId="0" xfId="51" applyFont="1" applyAlignment="1">
      <alignment horizontal="right" wrapText="1"/>
      <protection/>
    </xf>
    <xf numFmtId="0" fontId="35" fillId="0" borderId="0" xfId="51" applyFont="1" applyAlignment="1">
      <alignment vertical="center"/>
      <protection/>
    </xf>
    <xf numFmtId="0" fontId="17" fillId="0" borderId="11" xfId="51" applyFont="1" applyBorder="1" applyAlignment="1">
      <alignment horizontal="center" vertical="center" wrapText="1"/>
      <protection/>
    </xf>
    <xf numFmtId="49" fontId="24" fillId="0" borderId="11" xfId="51" applyNumberFormat="1" applyFont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vertical="center"/>
      <protection/>
    </xf>
    <xf numFmtId="49" fontId="18" fillId="0" borderId="11" xfId="51" applyNumberFormat="1" applyFont="1" applyBorder="1" applyAlignment="1">
      <alignment horizontal="center" vertical="center" wrapText="1"/>
      <protection/>
    </xf>
    <xf numFmtId="49" fontId="24" fillId="0" borderId="11" xfId="51" applyNumberFormat="1" applyFont="1" applyBorder="1" applyAlignment="1">
      <alignment vertical="top"/>
      <protection/>
    </xf>
    <xf numFmtId="49" fontId="24" fillId="0" borderId="11" xfId="51" applyNumberFormat="1" applyFont="1" applyBorder="1" applyAlignment="1">
      <alignment horizontal="center" vertical="top"/>
      <protection/>
    </xf>
    <xf numFmtId="3" fontId="10" fillId="0" borderId="11" xfId="51" applyNumberFormat="1" applyFont="1" applyBorder="1" applyAlignment="1">
      <alignment horizontal="right" vertical="center"/>
      <protection/>
    </xf>
    <xf numFmtId="3" fontId="17" fillId="0" borderId="11" xfId="51" applyNumberFormat="1" applyFont="1" applyBorder="1" applyAlignment="1">
      <alignment horizontal="right" vertical="center"/>
      <protection/>
    </xf>
    <xf numFmtId="49" fontId="35" fillId="0" borderId="0" xfId="51" applyNumberFormat="1" applyFont="1" applyBorder="1" applyAlignment="1">
      <alignment horizontal="center" vertical="center"/>
      <protection/>
    </xf>
    <xf numFmtId="49" fontId="36" fillId="0" borderId="0" xfId="51" applyNumberFormat="1" applyFont="1" applyBorder="1" applyAlignment="1">
      <alignment horizontal="center" vertical="top"/>
      <protection/>
    </xf>
    <xf numFmtId="0" fontId="35" fillId="0" borderId="0" xfId="51" applyFont="1" applyBorder="1" applyAlignment="1">
      <alignment horizontal="center" vertical="center"/>
      <protection/>
    </xf>
    <xf numFmtId="0" fontId="35" fillId="0" borderId="0" xfId="51" applyFont="1" applyFill="1" applyBorder="1" applyAlignment="1">
      <alignment horizontal="center" vertical="center"/>
      <protection/>
    </xf>
    <xf numFmtId="3" fontId="35" fillId="0" borderId="0" xfId="51" applyNumberFormat="1" applyFont="1" applyBorder="1" applyAlignment="1">
      <alignment horizontal="right" vertical="center"/>
      <protection/>
    </xf>
    <xf numFmtId="0" fontId="23" fillId="0" borderId="0" xfId="51" applyFont="1" applyBorder="1" applyAlignment="1">
      <alignment horizontal="center" vertical="top"/>
      <protection/>
    </xf>
    <xf numFmtId="0" fontId="5" fillId="0" borderId="0" xfId="5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/>
      <protection/>
    </xf>
    <xf numFmtId="49" fontId="18" fillId="0" borderId="11" xfId="51" applyNumberFormat="1" applyFont="1" applyBorder="1" applyAlignment="1">
      <alignment horizontal="center" vertical="center"/>
      <protection/>
    </xf>
    <xf numFmtId="49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right" vertical="center"/>
      <protection/>
    </xf>
    <xf numFmtId="3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18" fillId="0" borderId="0" xfId="51" applyFont="1" applyAlignment="1">
      <alignment horizontal="right" vertical="center" wrapText="1"/>
      <protection/>
    </xf>
    <xf numFmtId="3" fontId="4" fillId="0" borderId="0" xfId="51" applyNumberFormat="1" applyFont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 wrapText="1"/>
      <protection/>
    </xf>
    <xf numFmtId="49" fontId="18" fillId="37" borderId="11" xfId="51" applyNumberFormat="1" applyFont="1" applyFill="1" applyBorder="1" applyAlignment="1">
      <alignment horizontal="center" vertical="center"/>
      <protection/>
    </xf>
    <xf numFmtId="0" fontId="18" fillId="0" borderId="11" xfId="51" applyFont="1" applyBorder="1" applyAlignment="1">
      <alignment horizontal="center" vertical="center"/>
      <protection/>
    </xf>
    <xf numFmtId="0" fontId="18" fillId="37" borderId="11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10" fillId="37" borderId="11" xfId="51" applyFont="1" applyFill="1" applyBorder="1" applyAlignment="1">
      <alignment horizontal="center" vertical="center"/>
      <protection/>
    </xf>
    <xf numFmtId="0" fontId="3" fillId="40" borderId="11" xfId="51" applyFont="1" applyFill="1" applyBorder="1" applyAlignment="1">
      <alignment horizontal="center" vertical="center"/>
      <protection/>
    </xf>
    <xf numFmtId="49" fontId="18" fillId="0" borderId="11" xfId="51" applyNumberFormat="1" applyFont="1" applyBorder="1" applyAlignment="1">
      <alignment horizontal="center" vertical="top"/>
      <protection/>
    </xf>
    <xf numFmtId="0" fontId="3" fillId="36" borderId="11" xfId="5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 vertical="top"/>
      <protection/>
    </xf>
    <xf numFmtId="0" fontId="37" fillId="0" borderId="0" xfId="51" applyFont="1" applyAlignment="1">
      <alignment horizontal="center" vertical="center"/>
      <protection/>
    </xf>
    <xf numFmtId="0" fontId="18" fillId="0" borderId="24" xfId="51" applyFont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 wrapText="1"/>
      <protection/>
    </xf>
    <xf numFmtId="3" fontId="3" fillId="37" borderId="11" xfId="51" applyNumberFormat="1" applyFont="1" applyFill="1" applyBorder="1" applyAlignment="1">
      <alignment horizontal="right" vertical="center"/>
      <protection/>
    </xf>
    <xf numFmtId="49" fontId="18" fillId="0" borderId="11" xfId="51" applyNumberFormat="1" applyFont="1" applyFill="1" applyBorder="1" applyAlignment="1">
      <alignment horizontal="center" vertical="center"/>
      <protection/>
    </xf>
    <xf numFmtId="49" fontId="18" fillId="0" borderId="11" xfId="51" applyNumberFormat="1" applyFont="1" applyFill="1" applyBorder="1" applyAlignment="1">
      <alignment horizontal="center" vertical="center" wrapText="1"/>
      <protection/>
    </xf>
    <xf numFmtId="3" fontId="18" fillId="0" borderId="11" xfId="51" applyNumberFormat="1" applyFont="1" applyFill="1" applyBorder="1" applyAlignment="1">
      <alignment horizontal="right" vertical="center"/>
      <protection/>
    </xf>
    <xf numFmtId="0" fontId="18" fillId="0" borderId="11" xfId="51" applyFont="1" applyFill="1" applyBorder="1" applyAlignment="1">
      <alignment horizontal="center" vertical="center" wrapText="1"/>
      <protection/>
    </xf>
    <xf numFmtId="3" fontId="38" fillId="0" borderId="11" xfId="51" applyNumberFormat="1" applyFont="1" applyFill="1" applyBorder="1" applyAlignment="1">
      <alignment horizontal="right" vertical="center"/>
      <protection/>
    </xf>
    <xf numFmtId="0" fontId="18" fillId="0" borderId="11" xfId="51" applyFont="1" applyFill="1" applyBorder="1" applyAlignment="1">
      <alignment horizontal="center" vertical="center"/>
      <protection/>
    </xf>
    <xf numFmtId="49" fontId="4" fillId="0" borderId="0" xfId="51" applyNumberFormat="1" applyFont="1" applyAlignment="1">
      <alignment horizontal="center" vertical="top"/>
      <protection/>
    </xf>
    <xf numFmtId="49" fontId="37" fillId="0" borderId="0" xfId="51" applyNumberFormat="1" applyFont="1" applyAlignment="1">
      <alignment horizontal="center" vertical="center"/>
      <protection/>
    </xf>
    <xf numFmtId="0" fontId="4" fillId="0" borderId="0" xfId="51" applyFont="1" applyAlignment="1">
      <alignment horizontal="center" vertical="top"/>
      <protection/>
    </xf>
    <xf numFmtId="0" fontId="18" fillId="0" borderId="0" xfId="51" applyFont="1" applyBorder="1" applyAlignment="1">
      <alignment vertical="center" wrapText="1"/>
      <protection/>
    </xf>
    <xf numFmtId="49" fontId="18" fillId="37" borderId="11" xfId="51" applyNumberFormat="1" applyFont="1" applyFill="1" applyBorder="1" applyAlignment="1">
      <alignment horizontal="center" vertical="center" wrapText="1"/>
      <protection/>
    </xf>
    <xf numFmtId="49" fontId="35" fillId="0" borderId="0" xfId="51" applyNumberFormat="1" applyFont="1" applyBorder="1" applyAlignment="1">
      <alignment horizontal="center" vertical="top"/>
      <protection/>
    </xf>
    <xf numFmtId="49" fontId="37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3" fontId="39" fillId="0" borderId="0" xfId="51" applyNumberFormat="1" applyFont="1" applyBorder="1" applyAlignment="1">
      <alignment horizontal="right" vertical="center"/>
      <protection/>
    </xf>
    <xf numFmtId="3" fontId="4" fillId="0" borderId="0" xfId="51" applyNumberFormat="1" applyFont="1" applyBorder="1" applyAlignment="1">
      <alignment horizontal="center" vertical="center"/>
      <protection/>
    </xf>
    <xf numFmtId="49" fontId="35" fillId="0" borderId="0" xfId="51" applyNumberFormat="1" applyFont="1" applyAlignment="1">
      <alignment horizontal="center" vertical="top"/>
      <protection/>
    </xf>
    <xf numFmtId="0" fontId="10" fillId="0" borderId="0" xfId="55" applyFont="1">
      <alignment/>
      <protection/>
    </xf>
    <xf numFmtId="0" fontId="10" fillId="40" borderId="0" xfId="55" applyFont="1" applyFill="1">
      <alignment/>
      <protection/>
    </xf>
    <xf numFmtId="0" fontId="0" fillId="0" borderId="0" xfId="54">
      <alignment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0" fillId="40" borderId="0" xfId="55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 wrapText="1"/>
      <protection/>
    </xf>
    <xf numFmtId="0" fontId="17" fillId="0" borderId="11" xfId="55" applyFont="1" applyBorder="1" applyAlignment="1">
      <alignment horizontal="center" vertical="center"/>
      <protection/>
    </xf>
    <xf numFmtId="0" fontId="17" fillId="40" borderId="11" xfId="55" applyFont="1" applyFill="1" applyBorder="1" applyAlignment="1">
      <alignment horizontal="center" vertical="center"/>
      <protection/>
    </xf>
    <xf numFmtId="0" fontId="30" fillId="0" borderId="11" xfId="55" applyFont="1" applyBorder="1" applyAlignment="1">
      <alignment horizontal="center" vertical="center"/>
      <protection/>
    </xf>
    <xf numFmtId="0" fontId="30" fillId="40" borderId="11" xfId="55" applyFont="1" applyFill="1" applyBorder="1" applyAlignment="1">
      <alignment horizontal="center" vertical="center"/>
      <protection/>
    </xf>
    <xf numFmtId="0" fontId="30" fillId="0" borderId="11" xfId="55" applyFont="1" applyFill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40" borderId="11" xfId="57" applyFont="1" applyFill="1" applyBorder="1" applyAlignment="1">
      <alignment horizontal="left" vertical="center" wrapText="1"/>
      <protection/>
    </xf>
    <xf numFmtId="0" fontId="10" fillId="40" borderId="11" xfId="57" applyFont="1" applyFill="1" applyBorder="1" applyAlignment="1">
      <alignment horizontal="center" vertical="center" wrapText="1"/>
      <protection/>
    </xf>
    <xf numFmtId="3" fontId="10" fillId="0" borderId="11" xfId="55" applyNumberFormat="1" applyFont="1" applyFill="1" applyBorder="1" applyAlignment="1">
      <alignment vertical="center"/>
      <protection/>
    </xf>
    <xf numFmtId="0" fontId="10" fillId="40" borderId="11" xfId="57" applyFont="1" applyFill="1" applyBorder="1" applyAlignment="1">
      <alignment horizontal="center" vertical="center"/>
      <protection/>
    </xf>
    <xf numFmtId="0" fontId="10" fillId="40" borderId="11" xfId="57" applyFont="1" applyFill="1" applyBorder="1" applyAlignment="1">
      <alignment horizontal="left" vertical="center"/>
      <protection/>
    </xf>
    <xf numFmtId="3" fontId="0" fillId="0" borderId="0" xfId="54" applyNumberFormat="1">
      <alignment/>
      <protection/>
    </xf>
    <xf numFmtId="3" fontId="17" fillId="0" borderId="11" xfId="55" applyNumberFormat="1" applyFont="1" applyBorder="1" applyAlignment="1">
      <alignment vertical="center"/>
      <protection/>
    </xf>
    <xf numFmtId="0" fontId="10" fillId="0" borderId="0" xfId="52" applyFont="1" applyAlignment="1">
      <alignment/>
      <protection/>
    </xf>
    <xf numFmtId="0" fontId="39" fillId="0" borderId="0" xfId="52" applyFont="1" applyAlignment="1">
      <alignment horizontal="center" vertical="center" wrapText="1"/>
      <protection/>
    </xf>
    <xf numFmtId="0" fontId="4" fillId="0" borderId="0" xfId="52" applyAlignment="1">
      <alignment/>
      <protection/>
    </xf>
    <xf numFmtId="0" fontId="4" fillId="0" borderId="0" xfId="52">
      <alignment/>
      <protection/>
    </xf>
    <xf numFmtId="0" fontId="20" fillId="0" borderId="0" xfId="52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right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3" fontId="10" fillId="0" borderId="11" xfId="52" applyNumberFormat="1" applyFont="1" applyBorder="1" applyAlignment="1">
      <alignment vertical="center"/>
      <protection/>
    </xf>
    <xf numFmtId="0" fontId="40" fillId="0" borderId="0" xfId="52" applyFont="1">
      <alignment/>
      <protection/>
    </xf>
    <xf numFmtId="3" fontId="3" fillId="0" borderId="11" xfId="52" applyNumberFormat="1" applyFont="1" applyBorder="1" applyAlignment="1">
      <alignment vertical="center"/>
      <protection/>
    </xf>
    <xf numFmtId="0" fontId="41" fillId="0" borderId="0" xfId="52" applyFont="1">
      <alignment/>
      <protection/>
    </xf>
    <xf numFmtId="3" fontId="40" fillId="0" borderId="0" xfId="52" applyNumberFormat="1" applyFont="1">
      <alignment/>
      <protection/>
    </xf>
    <xf numFmtId="3" fontId="41" fillId="0" borderId="0" xfId="52" applyNumberFormat="1" applyFont="1">
      <alignment/>
      <protection/>
    </xf>
    <xf numFmtId="3" fontId="4" fillId="0" borderId="0" xfId="52" applyNumberFormat="1">
      <alignment/>
      <protection/>
    </xf>
    <xf numFmtId="0" fontId="23" fillId="0" borderId="11" xfId="51" applyFont="1" applyBorder="1" applyAlignment="1">
      <alignment vertical="center"/>
      <protection/>
    </xf>
    <xf numFmtId="0" fontId="76" fillId="0" borderId="11" xfId="51" applyFont="1" applyBorder="1" applyAlignment="1">
      <alignment horizontal="left" vertical="center" wrapText="1"/>
      <protection/>
    </xf>
    <xf numFmtId="0" fontId="76" fillId="0" borderId="14" xfId="51" applyFont="1" applyBorder="1" applyAlignment="1">
      <alignment horizontal="left" vertical="center" wrapText="1"/>
      <protection/>
    </xf>
    <xf numFmtId="0" fontId="76" fillId="0" borderId="11" xfId="51" applyFont="1" applyBorder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7" fillId="36" borderId="11" xfId="51" applyFont="1" applyFill="1" applyBorder="1" applyAlignment="1">
      <alignment horizontal="center" vertical="center" wrapText="1"/>
      <protection/>
    </xf>
    <xf numFmtId="0" fontId="18" fillId="36" borderId="11" xfId="51" applyFont="1" applyFill="1" applyBorder="1" applyAlignment="1">
      <alignment horizontal="left" vertical="center" wrapText="1"/>
      <protection/>
    </xf>
    <xf numFmtId="0" fontId="17" fillId="36" borderId="11" xfId="51" applyFont="1" applyFill="1" applyBorder="1" applyAlignment="1">
      <alignment horizontal="center" vertical="center" wrapText="1"/>
      <protection/>
    </xf>
    <xf numFmtId="0" fontId="20" fillId="36" borderId="11" xfId="51" applyFont="1" applyFill="1" applyBorder="1" applyAlignment="1">
      <alignment horizontal="center" vertical="center" wrapText="1"/>
      <protection/>
    </xf>
    <xf numFmtId="0" fontId="23" fillId="36" borderId="11" xfId="51" applyFont="1" applyFill="1" applyBorder="1" applyAlignment="1">
      <alignment horizontal="center" vertical="center" wrapText="1"/>
      <protection/>
    </xf>
    <xf numFmtId="0" fontId="18" fillId="36" borderId="11" xfId="51" applyFont="1" applyFill="1" applyBorder="1" applyAlignment="1">
      <alignment horizontal="center" vertical="center" wrapText="1"/>
      <protection/>
    </xf>
    <xf numFmtId="0" fontId="2" fillId="36" borderId="11" xfId="51" applyFill="1" applyBorder="1" applyAlignment="1">
      <alignment horizontal="center"/>
      <protection/>
    </xf>
    <xf numFmtId="0" fontId="20" fillId="36" borderId="15" xfId="51" applyFont="1" applyFill="1" applyBorder="1" applyAlignment="1">
      <alignment horizontal="center" vertical="center" wrapText="1"/>
      <protection/>
    </xf>
    <xf numFmtId="0" fontId="20" fillId="36" borderId="14" xfId="51" applyFont="1" applyFill="1" applyBorder="1" applyAlignment="1">
      <alignment horizontal="center" vertical="center" wrapText="1"/>
      <protection/>
    </xf>
    <xf numFmtId="0" fontId="23" fillId="36" borderId="11" xfId="51" applyFont="1" applyFill="1" applyBorder="1" applyAlignment="1" quotePrefix="1">
      <alignment horizontal="center" vertical="center" wrapText="1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7" fillId="0" borderId="0" xfId="51" applyFont="1" applyBorder="1" applyAlignment="1">
      <alignment horizontal="center" vertical="center" wrapText="1"/>
      <protection/>
    </xf>
    <xf numFmtId="0" fontId="17" fillId="36" borderId="11" xfId="51" applyFont="1" applyFill="1" applyBorder="1" applyAlignment="1" quotePrefix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/>
      <protection/>
    </xf>
    <xf numFmtId="49" fontId="7" fillId="0" borderId="11" xfId="51" applyNumberFormat="1" applyFont="1" applyBorder="1" applyAlignment="1">
      <alignment horizontal="center" vertical="center"/>
      <protection/>
    </xf>
    <xf numFmtId="49" fontId="7" fillId="36" borderId="11" xfId="51" applyNumberFormat="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1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16" fillId="0" borderId="0" xfId="51" applyFont="1" applyBorder="1" applyAlignment="1">
      <alignment horizontal="center" vertical="top" wrapText="1"/>
      <protection/>
    </xf>
    <xf numFmtId="0" fontId="2" fillId="0" borderId="0" xfId="51" applyBorder="1" applyAlignment="1">
      <alignment horizontal="center" vertical="top"/>
      <protection/>
    </xf>
    <xf numFmtId="0" fontId="27" fillId="0" borderId="0" xfId="51" applyFont="1" applyBorder="1" applyAlignment="1">
      <alignment horizontal="center" vertical="center"/>
      <protection/>
    </xf>
    <xf numFmtId="0" fontId="27" fillId="0" borderId="24" xfId="51" applyFont="1" applyBorder="1" applyAlignment="1">
      <alignment horizontal="center" vertical="center"/>
      <protection/>
    </xf>
    <xf numFmtId="0" fontId="22" fillId="0" borderId="24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17" fillId="36" borderId="25" xfId="51" applyFont="1" applyFill="1" applyBorder="1" applyAlignment="1">
      <alignment horizontal="center" vertical="center"/>
      <protection/>
    </xf>
    <xf numFmtId="0" fontId="17" fillId="36" borderId="26" xfId="51" applyFont="1" applyFill="1" applyBorder="1" applyAlignment="1">
      <alignment horizontal="center" vertical="center"/>
      <protection/>
    </xf>
    <xf numFmtId="0" fontId="17" fillId="36" borderId="27" xfId="51" applyFont="1" applyFill="1" applyBorder="1" applyAlignment="1">
      <alignment horizontal="center" vertical="center"/>
      <protection/>
    </xf>
    <xf numFmtId="0" fontId="3" fillId="37" borderId="25" xfId="51" applyFont="1" applyFill="1" applyBorder="1" applyAlignment="1">
      <alignment horizontal="center" vertical="center"/>
      <protection/>
    </xf>
    <xf numFmtId="0" fontId="3" fillId="37" borderId="26" xfId="51" applyFont="1" applyFill="1" applyBorder="1" applyAlignment="1">
      <alignment horizontal="center" vertical="center"/>
      <protection/>
    </xf>
    <xf numFmtId="0" fontId="3" fillId="37" borderId="27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left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3" fillId="40" borderId="15" xfId="51" applyFont="1" applyFill="1" applyBorder="1" applyAlignment="1">
      <alignment horizontal="center" vertical="center"/>
      <protection/>
    </xf>
    <xf numFmtId="0" fontId="3" fillId="40" borderId="16" xfId="51" applyFont="1" applyFill="1" applyBorder="1" applyAlignment="1">
      <alignment horizontal="center" vertical="center"/>
      <protection/>
    </xf>
    <xf numFmtId="0" fontId="3" fillId="40" borderId="14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10" fillId="0" borderId="0" xfId="51" applyFont="1" applyAlignment="1">
      <alignment horizontal="center"/>
      <protection/>
    </xf>
    <xf numFmtId="0" fontId="30" fillId="0" borderId="0" xfId="51" applyFont="1" applyAlignment="1">
      <alignment horizontal="center" vertical="top" wrapText="1"/>
      <protection/>
    </xf>
    <xf numFmtId="0" fontId="20" fillId="0" borderId="0" xfId="51" applyFont="1" applyAlignment="1">
      <alignment horizontal="center" wrapText="1"/>
      <protection/>
    </xf>
    <xf numFmtId="0" fontId="20" fillId="0" borderId="24" xfId="51" applyFont="1" applyBorder="1" applyAlignment="1">
      <alignment horizontal="left"/>
      <protection/>
    </xf>
    <xf numFmtId="0" fontId="3" fillId="0" borderId="11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10" fillId="0" borderId="16" xfId="51" applyFont="1" applyBorder="1" applyAlignment="1">
      <alignment horizontal="center" vertical="center"/>
      <protection/>
    </xf>
    <xf numFmtId="0" fontId="10" fillId="0" borderId="14" xfId="51" applyFont="1" applyBorder="1" applyAlignment="1">
      <alignment horizontal="center" vertical="center"/>
      <protection/>
    </xf>
    <xf numFmtId="0" fontId="10" fillId="0" borderId="15" xfId="51" applyFont="1" applyBorder="1" applyAlignment="1">
      <alignment horizontal="center" vertical="center"/>
      <protection/>
    </xf>
    <xf numFmtId="0" fontId="31" fillId="37" borderId="25" xfId="51" applyFont="1" applyFill="1" applyBorder="1" applyAlignment="1">
      <alignment horizontal="center" vertical="center"/>
      <protection/>
    </xf>
    <xf numFmtId="0" fontId="31" fillId="37" borderId="26" xfId="51" applyFont="1" applyFill="1" applyBorder="1" applyAlignment="1">
      <alignment horizontal="center" vertical="center"/>
      <protection/>
    </xf>
    <xf numFmtId="0" fontId="31" fillId="37" borderId="27" xfId="51" applyFont="1" applyFill="1" applyBorder="1" applyAlignment="1">
      <alignment horizontal="center" vertical="center"/>
      <protection/>
    </xf>
    <xf numFmtId="0" fontId="10" fillId="0" borderId="15" xfId="51" applyFont="1" applyFill="1" applyBorder="1" applyAlignment="1">
      <alignment horizontal="center" vertical="center"/>
      <protection/>
    </xf>
    <xf numFmtId="0" fontId="10" fillId="0" borderId="16" xfId="51" applyFont="1" applyFill="1" applyBorder="1" applyAlignment="1">
      <alignment horizontal="center" vertical="center"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1" fillId="37" borderId="25" xfId="51" applyFont="1" applyFill="1" applyBorder="1" applyAlignment="1">
      <alignment horizontal="center" vertical="center" wrapText="1"/>
      <protection/>
    </xf>
    <xf numFmtId="0" fontId="31" fillId="37" borderId="26" xfId="51" applyFont="1" applyFill="1" applyBorder="1" applyAlignment="1">
      <alignment horizontal="center" vertical="center" wrapText="1"/>
      <protection/>
    </xf>
    <xf numFmtId="0" fontId="31" fillId="37" borderId="27" xfId="51" applyFont="1" applyFill="1" applyBorder="1" applyAlignment="1">
      <alignment horizontal="center" vertical="center" wrapText="1"/>
      <protection/>
    </xf>
    <xf numFmtId="0" fontId="30" fillId="0" borderId="0" xfId="51" applyFont="1" applyAlignment="1">
      <alignment horizontal="center" vertical="center" wrapText="1"/>
      <protection/>
    </xf>
    <xf numFmtId="0" fontId="17" fillId="36" borderId="11" xfId="51" applyFont="1" applyFill="1" applyBorder="1" applyAlignment="1">
      <alignment horizontal="center" vertical="center"/>
      <protection/>
    </xf>
    <xf numFmtId="3" fontId="17" fillId="36" borderId="11" xfId="51" applyNumberFormat="1" applyFont="1" applyFill="1" applyBorder="1" applyAlignment="1">
      <alignment horizontal="center" vertical="center" wrapText="1"/>
      <protection/>
    </xf>
    <xf numFmtId="3" fontId="17" fillId="36" borderId="11" xfId="51" applyNumberFormat="1" applyFont="1" applyFill="1" applyBorder="1" applyAlignment="1">
      <alignment horizontal="center" vertical="center"/>
      <protection/>
    </xf>
    <xf numFmtId="49" fontId="17" fillId="0" borderId="11" xfId="51" applyNumberFormat="1" applyFont="1" applyBorder="1" applyAlignment="1">
      <alignment horizontal="center" vertical="center"/>
      <protection/>
    </xf>
    <xf numFmtId="0" fontId="10" fillId="0" borderId="0" xfId="51" applyFont="1" applyAlignment="1">
      <alignment horizontal="center" vertical="center"/>
      <protection/>
    </xf>
    <xf numFmtId="0" fontId="20" fillId="0" borderId="0" xfId="51" applyFont="1" applyAlignment="1">
      <alignment horizontal="center" vertical="center" wrapText="1"/>
      <protection/>
    </xf>
    <xf numFmtId="0" fontId="24" fillId="0" borderId="15" xfId="51" applyFont="1" applyBorder="1" applyAlignment="1">
      <alignment horizontal="center" vertical="center"/>
      <protection/>
    </xf>
    <xf numFmtId="0" fontId="24" fillId="0" borderId="14" xfId="51" applyFont="1" applyBorder="1" applyAlignment="1">
      <alignment horizontal="center" vertical="center"/>
      <protection/>
    </xf>
    <xf numFmtId="0" fontId="76" fillId="0" borderId="15" xfId="51" applyFont="1" applyBorder="1" applyAlignment="1">
      <alignment horizontal="left" vertical="center" wrapText="1"/>
      <protection/>
    </xf>
    <xf numFmtId="0" fontId="10" fillId="0" borderId="14" xfId="51" applyFont="1" applyBorder="1" applyAlignment="1">
      <alignment horizontal="left" vertical="center" wrapText="1"/>
      <protection/>
    </xf>
    <xf numFmtId="49" fontId="3" fillId="0" borderId="11" xfId="51" applyNumberFormat="1" applyFont="1" applyBorder="1" applyAlignment="1">
      <alignment horizontal="center" vertical="center"/>
      <protection/>
    </xf>
    <xf numFmtId="0" fontId="10" fillId="0" borderId="0" xfId="51" applyFont="1" applyAlignment="1">
      <alignment horizontal="center" vertical="top"/>
      <protection/>
    </xf>
    <xf numFmtId="49" fontId="3" fillId="0" borderId="11" xfId="51" applyNumberFormat="1" applyFont="1" applyFill="1" applyBorder="1" applyAlignment="1">
      <alignment horizontal="center" vertical="center"/>
      <protection/>
    </xf>
    <xf numFmtId="49" fontId="17" fillId="0" borderId="11" xfId="51" applyNumberFormat="1" applyFont="1" applyFill="1" applyBorder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49" fontId="3" fillId="0" borderId="11" xfId="51" applyNumberFormat="1" applyFont="1" applyBorder="1" applyAlignment="1">
      <alignment horizontal="center" vertical="top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7" fillId="0" borderId="11" xfId="51" applyFont="1" applyBorder="1" applyAlignment="1">
      <alignment horizontal="center" vertical="center"/>
      <protection/>
    </xf>
    <xf numFmtId="0" fontId="17" fillId="0" borderId="11" xfId="51" applyFont="1" applyBorder="1" applyAlignment="1">
      <alignment horizontal="center" vertical="center" wrapText="1"/>
      <protection/>
    </xf>
    <xf numFmtId="0" fontId="4" fillId="37" borderId="11" xfId="51" applyFont="1" applyFill="1" applyBorder="1" applyAlignment="1">
      <alignment horizontal="center" vertical="center"/>
      <protection/>
    </xf>
    <xf numFmtId="3" fontId="10" fillId="0" borderId="11" xfId="51" applyNumberFormat="1" applyFont="1" applyBorder="1" applyAlignment="1">
      <alignment horizontal="right" vertical="center"/>
      <protection/>
    </xf>
    <xf numFmtId="3" fontId="17" fillId="0" borderId="11" xfId="51" applyNumberFormat="1" applyFont="1" applyBorder="1" applyAlignment="1">
      <alignment horizontal="right" vertical="center"/>
      <protection/>
    </xf>
    <xf numFmtId="0" fontId="20" fillId="0" borderId="11" xfId="51" applyFont="1" applyBorder="1" applyAlignment="1">
      <alignment horizontal="center" vertical="center"/>
      <protection/>
    </xf>
    <xf numFmtId="49" fontId="24" fillId="0" borderId="11" xfId="51" applyNumberFormat="1" applyFont="1" applyBorder="1" applyAlignment="1">
      <alignment horizontal="center" vertical="top"/>
      <protection/>
    </xf>
    <xf numFmtId="0" fontId="24" fillId="0" borderId="11" xfId="51" applyFont="1" applyBorder="1" applyAlignment="1">
      <alignment horizontal="center" vertical="center" wrapText="1"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3" fontId="24" fillId="0" borderId="25" xfId="51" applyNumberFormat="1" applyFont="1" applyBorder="1" applyAlignment="1">
      <alignment horizontal="right" vertical="center"/>
      <protection/>
    </xf>
    <xf numFmtId="0" fontId="24" fillId="0" borderId="27" xfId="51" applyFont="1" applyBorder="1" applyAlignment="1">
      <alignment horizontal="right" vertical="center"/>
      <protection/>
    </xf>
    <xf numFmtId="2" fontId="18" fillId="0" borderId="11" xfId="51" applyNumberFormat="1" applyFont="1" applyBorder="1" applyAlignment="1">
      <alignment horizontal="center" vertical="center"/>
      <protection/>
    </xf>
    <xf numFmtId="3" fontId="18" fillId="0" borderId="25" xfId="51" applyNumberFormat="1" applyFont="1" applyBorder="1" applyAlignment="1">
      <alignment horizontal="right" vertical="center"/>
      <protection/>
    </xf>
    <xf numFmtId="0" fontId="18" fillId="0" borderId="27" xfId="51" applyFont="1" applyBorder="1" applyAlignment="1">
      <alignment horizontal="right" vertical="center"/>
      <protection/>
    </xf>
    <xf numFmtId="3" fontId="10" fillId="0" borderId="25" xfId="51" applyNumberFormat="1" applyFont="1" applyFill="1" applyBorder="1" applyAlignment="1">
      <alignment horizontal="right" vertical="center" wrapText="1"/>
      <protection/>
    </xf>
    <xf numFmtId="3" fontId="10" fillId="0" borderId="27" xfId="51" applyNumberFormat="1" applyFont="1" applyFill="1" applyBorder="1" applyAlignment="1">
      <alignment horizontal="right" vertical="center" wrapText="1"/>
      <protection/>
    </xf>
    <xf numFmtId="49" fontId="18" fillId="0" borderId="25" xfId="51" applyNumberFormat="1" applyFont="1" applyBorder="1" applyAlignment="1">
      <alignment horizontal="center" vertical="top"/>
      <protection/>
    </xf>
    <xf numFmtId="49" fontId="18" fillId="0" borderId="27" xfId="51" applyNumberFormat="1" applyFont="1" applyBorder="1" applyAlignment="1">
      <alignment horizontal="center" vertical="top"/>
      <protection/>
    </xf>
    <xf numFmtId="49" fontId="18" fillId="0" borderId="15" xfId="51" applyNumberFormat="1" applyFont="1" applyBorder="1" applyAlignment="1">
      <alignment horizontal="center" vertical="top"/>
      <protection/>
    </xf>
    <xf numFmtId="49" fontId="18" fillId="0" borderId="14" xfId="51" applyNumberFormat="1" applyFont="1" applyBorder="1" applyAlignment="1">
      <alignment horizontal="center" vertical="top"/>
      <protection/>
    </xf>
    <xf numFmtId="49" fontId="18" fillId="0" borderId="11" xfId="51" applyNumberFormat="1" applyFont="1" applyBorder="1" applyAlignment="1">
      <alignment horizontal="center" vertical="top"/>
      <protection/>
    </xf>
    <xf numFmtId="0" fontId="18" fillId="0" borderId="11" xfId="51" applyFont="1" applyFill="1" applyBorder="1" applyAlignment="1">
      <alignment horizontal="center" vertical="center"/>
      <protection/>
    </xf>
    <xf numFmtId="0" fontId="18" fillId="36" borderId="11" xfId="51" applyFont="1" applyFill="1" applyBorder="1" applyAlignment="1">
      <alignment horizontal="center" vertical="center"/>
      <protection/>
    </xf>
    <xf numFmtId="0" fontId="18" fillId="0" borderId="11" xfId="51" applyFont="1" applyBorder="1" applyAlignment="1">
      <alignment horizontal="center" vertical="center"/>
      <protection/>
    </xf>
    <xf numFmtId="49" fontId="18" fillId="0" borderId="11" xfId="51" applyNumberFormat="1" applyFont="1" applyBorder="1" applyAlignment="1">
      <alignment horizontal="center" vertical="center" wrapText="1"/>
      <protection/>
    </xf>
    <xf numFmtId="0" fontId="30" fillId="0" borderId="0" xfId="51" applyFont="1">
      <alignment/>
      <protection/>
    </xf>
    <xf numFmtId="49" fontId="18" fillId="0" borderId="11" xfId="51" applyNumberFormat="1" applyFont="1" applyBorder="1" applyAlignment="1">
      <alignment horizontal="center" vertical="center"/>
      <protection/>
    </xf>
    <xf numFmtId="0" fontId="37" fillId="0" borderId="0" xfId="51" applyFont="1" applyAlignment="1">
      <alignment horizontal="center" vertical="center" wrapText="1"/>
      <protection/>
    </xf>
    <xf numFmtId="49" fontId="3" fillId="37" borderId="11" xfId="51" applyNumberFormat="1" applyFont="1" applyFill="1" applyBorder="1" applyAlignment="1">
      <alignment horizontal="center" vertical="center"/>
      <protection/>
    </xf>
    <xf numFmtId="0" fontId="3" fillId="37" borderId="11" xfId="51" applyFont="1" applyFill="1" applyBorder="1" applyAlignment="1">
      <alignment horizontal="center" vertical="center"/>
      <protection/>
    </xf>
    <xf numFmtId="0" fontId="3" fillId="37" borderId="11" xfId="51" applyFont="1" applyFill="1" applyBorder="1" applyAlignment="1">
      <alignment horizontal="center" vertical="center" wrapText="1"/>
      <protection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24" fillId="0" borderId="25" xfId="51" applyFont="1" applyBorder="1" applyAlignment="1">
      <alignment horizontal="center" vertical="center" wrapText="1"/>
      <protection/>
    </xf>
    <xf numFmtId="0" fontId="24" fillId="0" borderId="26" xfId="51" applyFont="1" applyBorder="1" applyAlignment="1">
      <alignment horizontal="center" vertical="center" wrapText="1"/>
      <protection/>
    </xf>
    <xf numFmtId="0" fontId="24" fillId="0" borderId="27" xfId="51" applyFont="1" applyBorder="1" applyAlignment="1">
      <alignment horizontal="center" vertical="center" wrapText="1"/>
      <protection/>
    </xf>
    <xf numFmtId="0" fontId="24" fillId="0" borderId="15" xfId="51" applyFont="1" applyBorder="1" applyAlignment="1">
      <alignment horizontal="center" vertical="center" wrapText="1"/>
      <protection/>
    </xf>
    <xf numFmtId="0" fontId="24" fillId="0" borderId="14" xfId="51" applyFont="1" applyBorder="1" applyAlignment="1">
      <alignment horizontal="center" vertical="center" wrapText="1"/>
      <protection/>
    </xf>
    <xf numFmtId="0" fontId="36" fillId="0" borderId="0" xfId="51" applyFont="1" applyAlignment="1">
      <alignment horizontal="center" vertical="center" wrapText="1"/>
      <protection/>
    </xf>
    <xf numFmtId="49" fontId="3" fillId="0" borderId="15" xfId="51" applyNumberFormat="1" applyFont="1" applyBorder="1" applyAlignment="1">
      <alignment horizontal="center" vertical="justify" wrapText="1"/>
      <protection/>
    </xf>
    <xf numFmtId="49" fontId="3" fillId="0" borderId="16" xfId="51" applyNumberFormat="1" applyFont="1" applyBorder="1" applyAlignment="1">
      <alignment horizontal="center" vertical="justify" wrapText="1"/>
      <protection/>
    </xf>
    <xf numFmtId="49" fontId="3" fillId="0" borderId="14" xfId="51" applyNumberFormat="1" applyFont="1" applyBorder="1" applyAlignment="1">
      <alignment horizontal="center" vertical="justify" wrapText="1"/>
      <protection/>
    </xf>
    <xf numFmtId="49" fontId="18" fillId="0" borderId="15" xfId="51" applyNumberFormat="1" applyFont="1" applyBorder="1" applyAlignment="1">
      <alignment horizontal="center" vertical="center" wrapText="1"/>
      <protection/>
    </xf>
    <xf numFmtId="49" fontId="18" fillId="0" borderId="16" xfId="51" applyNumberFormat="1" applyFont="1" applyBorder="1" applyAlignment="1">
      <alignment horizontal="center" vertical="center" wrapText="1"/>
      <protection/>
    </xf>
    <xf numFmtId="49" fontId="18" fillId="0" borderId="14" xfId="51" applyNumberFormat="1" applyFont="1" applyBorder="1" applyAlignment="1">
      <alignment horizontal="center" vertical="center" wrapText="1"/>
      <protection/>
    </xf>
    <xf numFmtId="0" fontId="18" fillId="0" borderId="25" xfId="51" applyFont="1" applyBorder="1" applyAlignment="1">
      <alignment horizontal="center" vertical="center"/>
      <protection/>
    </xf>
    <xf numFmtId="0" fontId="18" fillId="0" borderId="27" xfId="51" applyFont="1" applyBorder="1" applyAlignment="1">
      <alignment horizontal="center" vertical="center"/>
      <protection/>
    </xf>
    <xf numFmtId="49" fontId="3" fillId="0" borderId="11" xfId="51" applyNumberFormat="1" applyFont="1" applyBorder="1" applyAlignment="1">
      <alignment horizontal="center" vertical="justify" wrapText="1"/>
      <protection/>
    </xf>
    <xf numFmtId="0" fontId="30" fillId="0" borderId="0" xfId="51" applyFont="1" applyBorder="1" applyAlignment="1">
      <alignment horizontal="center" vertical="center" wrapText="1"/>
      <protection/>
    </xf>
    <xf numFmtId="0" fontId="17" fillId="0" borderId="25" xfId="55" applyFont="1" applyBorder="1" applyAlignment="1">
      <alignment horizontal="center" vertical="center"/>
      <protection/>
    </xf>
    <xf numFmtId="0" fontId="17" fillId="0" borderId="26" xfId="55" applyFont="1" applyBorder="1" applyAlignment="1">
      <alignment horizontal="center" vertical="center"/>
      <protection/>
    </xf>
    <xf numFmtId="0" fontId="17" fillId="0" borderId="27" xfId="55" applyFont="1" applyBorder="1" applyAlignment="1">
      <alignment horizontal="center" vertical="center"/>
      <protection/>
    </xf>
    <xf numFmtId="0" fontId="30" fillId="0" borderId="0" xfId="55" applyFont="1" applyAlignment="1">
      <alignment horizontal="center" vertical="top" wrapText="1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40" borderId="11" xfId="57" applyFont="1" applyFill="1" applyBorder="1" applyAlignment="1">
      <alignment horizontal="left" vertical="center"/>
      <protection/>
    </xf>
    <xf numFmtId="0" fontId="30" fillId="0" borderId="0" xfId="52" applyFont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7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3 2" xfId="54"/>
    <cellStyle name="Normalny 3 2 2" xfId="55"/>
    <cellStyle name="Normalny 4" xfId="56"/>
    <cellStyle name="Normalny_Arkusz1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view="pageBreakPreview" zoomScaleNormal="75" zoomScaleSheetLayoutView="100" zoomScalePageLayoutView="0" workbookViewId="0" topLeftCell="A1">
      <pane xSplit="2" ySplit="4" topLeftCell="C5" activePane="bottomRight" state="frozen"/>
      <selection pane="topLeft" activeCell="I207" sqref="I207"/>
      <selection pane="topRight" activeCell="I207" sqref="I207"/>
      <selection pane="bottomLeft" activeCell="I207" sqref="I207"/>
      <selection pane="bottomRight" activeCell="C4" sqref="C4"/>
    </sheetView>
  </sheetViews>
  <sheetFormatPr defaultColWidth="9.140625" defaultRowHeight="15"/>
  <cols>
    <col min="1" max="1" width="6.421875" style="109" customWidth="1"/>
    <col min="2" max="2" width="8.8515625" style="109" customWidth="1"/>
    <col min="3" max="3" width="83.7109375" style="108" customWidth="1"/>
    <col min="4" max="4" width="18.00390625" style="110" customWidth="1"/>
    <col min="5" max="5" width="12.421875" style="58" bestFit="1" customWidth="1"/>
    <col min="6" max="16384" width="9.140625" style="58" customWidth="1"/>
  </cols>
  <sheetData>
    <row r="1" spans="1:7" ht="51.75" customHeight="1">
      <c r="A1" s="56"/>
      <c r="B1" s="56"/>
      <c r="C1" s="344" t="s">
        <v>507</v>
      </c>
      <c r="D1" s="344"/>
      <c r="E1" s="57"/>
      <c r="F1" s="57"/>
      <c r="G1" s="57"/>
    </row>
    <row r="2" spans="1:4" ht="69.75" customHeight="1">
      <c r="A2" s="345" t="s">
        <v>58</v>
      </c>
      <c r="B2" s="345"/>
      <c r="C2" s="345"/>
      <c r="D2" s="345"/>
    </row>
    <row r="3" spans="1:4" ht="18" customHeight="1">
      <c r="A3" s="59"/>
      <c r="B3" s="59"/>
      <c r="C3" s="59"/>
      <c r="D3" s="60" t="s">
        <v>59</v>
      </c>
    </row>
    <row r="4" spans="1:4" s="63" customFormat="1" ht="31.5" customHeight="1">
      <c r="A4" s="61" t="s">
        <v>60</v>
      </c>
      <c r="B4" s="61" t="s">
        <v>61</v>
      </c>
      <c r="C4" s="62" t="s">
        <v>62</v>
      </c>
      <c r="D4" s="61" t="s">
        <v>63</v>
      </c>
    </row>
    <row r="5" spans="1:4" s="67" customFormat="1" ht="15.75">
      <c r="A5" s="64" t="s">
        <v>64</v>
      </c>
      <c r="B5" s="64"/>
      <c r="C5" s="65" t="s">
        <v>65</v>
      </c>
      <c r="D5" s="66">
        <f>SUM(D6,D10,D14,D20,D25)</f>
        <v>24912108</v>
      </c>
    </row>
    <row r="6" spans="1:4" ht="15">
      <c r="A6" s="346"/>
      <c r="B6" s="68" t="s">
        <v>66</v>
      </c>
      <c r="C6" s="69" t="s">
        <v>67</v>
      </c>
      <c r="D6" s="70">
        <f>D7+D9</f>
        <v>20000</v>
      </c>
    </row>
    <row r="7" spans="1:4" s="72" customFormat="1" ht="12.75">
      <c r="A7" s="346"/>
      <c r="B7" s="335" t="s">
        <v>68</v>
      </c>
      <c r="C7" s="335"/>
      <c r="D7" s="71">
        <f>SUM(D8)</f>
        <v>20000</v>
      </c>
    </row>
    <row r="8" spans="1:4" ht="25.5">
      <c r="A8" s="346"/>
      <c r="B8" s="73"/>
      <c r="C8" s="74" t="s">
        <v>69</v>
      </c>
      <c r="D8" s="75">
        <v>20000</v>
      </c>
    </row>
    <row r="9" spans="1:4" s="72" customFormat="1" ht="12.75">
      <c r="A9" s="346"/>
      <c r="B9" s="335" t="s">
        <v>70</v>
      </c>
      <c r="C9" s="335"/>
      <c r="D9" s="71">
        <v>0</v>
      </c>
    </row>
    <row r="10" spans="1:4" ht="15">
      <c r="A10" s="346"/>
      <c r="B10" s="68" t="s">
        <v>71</v>
      </c>
      <c r="C10" s="69" t="s">
        <v>72</v>
      </c>
      <c r="D10" s="70">
        <f>SUM(D11,D13)</f>
        <v>83740</v>
      </c>
    </row>
    <row r="11" spans="1:4" ht="12.75">
      <c r="A11" s="346"/>
      <c r="B11" s="335" t="s">
        <v>68</v>
      </c>
      <c r="C11" s="335"/>
      <c r="D11" s="71">
        <f>SUM(D12:D12)</f>
        <v>83740</v>
      </c>
    </row>
    <row r="12" spans="1:4" ht="38.25">
      <c r="A12" s="346"/>
      <c r="B12" s="76"/>
      <c r="C12" s="74" t="s">
        <v>73</v>
      </c>
      <c r="D12" s="75">
        <v>83740</v>
      </c>
    </row>
    <row r="13" spans="1:4" ht="12.75">
      <c r="A13" s="346"/>
      <c r="B13" s="335" t="s">
        <v>70</v>
      </c>
      <c r="C13" s="335"/>
      <c r="D13" s="77">
        <v>0</v>
      </c>
    </row>
    <row r="14" spans="1:4" ht="15">
      <c r="A14" s="346"/>
      <c r="B14" s="68" t="s">
        <v>74</v>
      </c>
      <c r="C14" s="69" t="s">
        <v>75</v>
      </c>
      <c r="D14" s="70">
        <f>SUM(D15,D18)</f>
        <v>18558368</v>
      </c>
    </row>
    <row r="15" spans="1:4" ht="12.75">
      <c r="A15" s="346"/>
      <c r="B15" s="335" t="s">
        <v>68</v>
      </c>
      <c r="C15" s="335"/>
      <c r="D15" s="77">
        <f>SUM(D16:D17)</f>
        <v>5103368</v>
      </c>
    </row>
    <row r="16" spans="1:4" ht="25.5">
      <c r="A16" s="346"/>
      <c r="B16" s="338"/>
      <c r="C16" s="74" t="s">
        <v>76</v>
      </c>
      <c r="D16" s="75">
        <v>1368</v>
      </c>
    </row>
    <row r="17" spans="1:4" ht="25.5">
      <c r="A17" s="346"/>
      <c r="B17" s="338"/>
      <c r="C17" s="74" t="s">
        <v>69</v>
      </c>
      <c r="D17" s="75">
        <v>5102000</v>
      </c>
    </row>
    <row r="18" spans="1:4" ht="12.75">
      <c r="A18" s="346"/>
      <c r="B18" s="335" t="s">
        <v>77</v>
      </c>
      <c r="C18" s="335"/>
      <c r="D18" s="71">
        <f>SUM(D19:D19)</f>
        <v>13455000</v>
      </c>
    </row>
    <row r="19" spans="1:4" ht="38.25">
      <c r="A19" s="346"/>
      <c r="B19" s="76"/>
      <c r="C19" s="74" t="s">
        <v>78</v>
      </c>
      <c r="D19" s="75">
        <v>13455000</v>
      </c>
    </row>
    <row r="20" spans="1:4" ht="15.75">
      <c r="A20" s="346"/>
      <c r="B20" s="78" t="s">
        <v>79</v>
      </c>
      <c r="C20" s="69" t="s">
        <v>80</v>
      </c>
      <c r="D20" s="79">
        <f>SUM(D21,D23)</f>
        <v>4276000</v>
      </c>
    </row>
    <row r="21" spans="1:4" ht="12.75">
      <c r="A21" s="346"/>
      <c r="B21" s="335" t="s">
        <v>68</v>
      </c>
      <c r="C21" s="335"/>
      <c r="D21" s="77">
        <f>SUM(D22:D22)</f>
        <v>4268000</v>
      </c>
    </row>
    <row r="22" spans="1:4" ht="25.5">
      <c r="A22" s="346"/>
      <c r="B22" s="80"/>
      <c r="C22" s="74" t="s">
        <v>69</v>
      </c>
      <c r="D22" s="75">
        <v>4268000</v>
      </c>
    </row>
    <row r="23" spans="1:4" ht="12.75">
      <c r="A23" s="346"/>
      <c r="B23" s="335" t="s">
        <v>77</v>
      </c>
      <c r="C23" s="335"/>
      <c r="D23" s="77">
        <f>SUM(D24:D24)</f>
        <v>8000</v>
      </c>
    </row>
    <row r="24" spans="1:4" ht="38.25">
      <c r="A24" s="346"/>
      <c r="B24" s="81"/>
      <c r="C24" s="74" t="s">
        <v>78</v>
      </c>
      <c r="D24" s="75">
        <v>8000</v>
      </c>
    </row>
    <row r="25" spans="1:4" s="72" customFormat="1" ht="15">
      <c r="A25" s="346"/>
      <c r="B25" s="82" t="s">
        <v>81</v>
      </c>
      <c r="C25" s="69" t="s">
        <v>82</v>
      </c>
      <c r="D25" s="70">
        <f>SUM(D26,D27)</f>
        <v>1974000</v>
      </c>
    </row>
    <row r="26" spans="1:4" ht="12.75">
      <c r="A26" s="346"/>
      <c r="B26" s="335" t="s">
        <v>83</v>
      </c>
      <c r="C26" s="335"/>
      <c r="D26" s="77">
        <v>0</v>
      </c>
    </row>
    <row r="27" spans="1:4" ht="12.75">
      <c r="A27" s="346"/>
      <c r="B27" s="335" t="s">
        <v>77</v>
      </c>
      <c r="C27" s="335"/>
      <c r="D27" s="71">
        <f>SUM(D28)</f>
        <v>1974000</v>
      </c>
    </row>
    <row r="28" spans="1:4" ht="38.25">
      <c r="A28" s="346"/>
      <c r="B28" s="81"/>
      <c r="C28" s="74" t="s">
        <v>84</v>
      </c>
      <c r="D28" s="75">
        <v>1974000</v>
      </c>
    </row>
    <row r="29" spans="1:4" s="85" customFormat="1" ht="15.75">
      <c r="A29" s="83" t="s">
        <v>85</v>
      </c>
      <c r="B29" s="84"/>
      <c r="C29" s="65" t="s">
        <v>86</v>
      </c>
      <c r="D29" s="66">
        <f>D30</f>
        <v>401000</v>
      </c>
    </row>
    <row r="30" spans="1:4" ht="30">
      <c r="A30" s="343"/>
      <c r="B30" s="86" t="s">
        <v>87</v>
      </c>
      <c r="C30" s="69" t="s">
        <v>88</v>
      </c>
      <c r="D30" s="79">
        <f>SUM(D31,D33)</f>
        <v>401000</v>
      </c>
    </row>
    <row r="31" spans="1:4" ht="12.75">
      <c r="A31" s="343"/>
      <c r="B31" s="335" t="s">
        <v>68</v>
      </c>
      <c r="C31" s="335"/>
      <c r="D31" s="77">
        <f>SUM(D32:D32)</f>
        <v>385000</v>
      </c>
    </row>
    <row r="32" spans="1:4" ht="25.5">
      <c r="A32" s="343"/>
      <c r="B32" s="82"/>
      <c r="C32" s="74" t="s">
        <v>69</v>
      </c>
      <c r="D32" s="75">
        <v>385000</v>
      </c>
    </row>
    <row r="33" spans="1:4" ht="12.75">
      <c r="A33" s="343"/>
      <c r="B33" s="335" t="s">
        <v>77</v>
      </c>
      <c r="C33" s="335"/>
      <c r="D33" s="87">
        <f>SUM(D34)</f>
        <v>16000</v>
      </c>
    </row>
    <row r="34" spans="1:4" ht="38.25">
      <c r="A34" s="343"/>
      <c r="B34" s="76"/>
      <c r="C34" s="74" t="s">
        <v>78</v>
      </c>
      <c r="D34" s="71">
        <v>16000</v>
      </c>
    </row>
    <row r="35" spans="1:4" s="88" customFormat="1" ht="15.75">
      <c r="A35" s="84">
        <v>600</v>
      </c>
      <c r="B35" s="84"/>
      <c r="C35" s="65" t="s">
        <v>89</v>
      </c>
      <c r="D35" s="66">
        <f>D36+D40+D44</f>
        <v>71089302</v>
      </c>
    </row>
    <row r="36" spans="1:4" ht="15">
      <c r="A36" s="334"/>
      <c r="B36" s="89">
        <v>60003</v>
      </c>
      <c r="C36" s="69" t="s">
        <v>90</v>
      </c>
      <c r="D36" s="70">
        <f>SUM(D37,D39)</f>
        <v>50402000</v>
      </c>
    </row>
    <row r="37" spans="1:4" ht="12.75">
      <c r="A37" s="334"/>
      <c r="B37" s="335" t="s">
        <v>68</v>
      </c>
      <c r="C37" s="335"/>
      <c r="D37" s="71">
        <f>SUM(D38)</f>
        <v>50402000</v>
      </c>
    </row>
    <row r="38" spans="1:4" ht="25.5">
      <c r="A38" s="334"/>
      <c r="B38" s="80"/>
      <c r="C38" s="74" t="s">
        <v>69</v>
      </c>
      <c r="D38" s="75">
        <v>50402000</v>
      </c>
    </row>
    <row r="39" spans="1:4" ht="12.75">
      <c r="A39" s="334"/>
      <c r="B39" s="335" t="s">
        <v>70</v>
      </c>
      <c r="C39" s="335"/>
      <c r="D39" s="71">
        <v>0</v>
      </c>
    </row>
    <row r="40" spans="1:4" ht="15">
      <c r="A40" s="334"/>
      <c r="B40" s="89">
        <v>60004</v>
      </c>
      <c r="C40" s="69" t="s">
        <v>91</v>
      </c>
      <c r="D40" s="70">
        <f>SUM(D41,D43)</f>
        <v>150000</v>
      </c>
    </row>
    <row r="41" spans="1:4" ht="12.75">
      <c r="A41" s="334"/>
      <c r="B41" s="335" t="s">
        <v>68</v>
      </c>
      <c r="C41" s="335"/>
      <c r="D41" s="71">
        <f>SUM(D42)</f>
        <v>150000</v>
      </c>
    </row>
    <row r="42" spans="1:4" ht="25.5">
      <c r="A42" s="334"/>
      <c r="B42" s="80"/>
      <c r="C42" s="74" t="s">
        <v>92</v>
      </c>
      <c r="D42" s="75">
        <v>150000</v>
      </c>
    </row>
    <row r="43" spans="1:4" ht="12.75">
      <c r="A43" s="334"/>
      <c r="B43" s="335" t="s">
        <v>70</v>
      </c>
      <c r="C43" s="335"/>
      <c r="D43" s="71">
        <v>0</v>
      </c>
    </row>
    <row r="44" spans="1:4" ht="15">
      <c r="A44" s="334"/>
      <c r="B44" s="89">
        <v>60013</v>
      </c>
      <c r="C44" s="69" t="s">
        <v>93</v>
      </c>
      <c r="D44" s="70">
        <f>SUM(D45,D47)</f>
        <v>20537302</v>
      </c>
    </row>
    <row r="45" spans="1:4" ht="12.75">
      <c r="A45" s="334"/>
      <c r="B45" s="335" t="s">
        <v>68</v>
      </c>
      <c r="C45" s="335"/>
      <c r="D45" s="71">
        <f>SUM(D46:D46)</f>
        <v>9000</v>
      </c>
    </row>
    <row r="46" spans="1:4" ht="38.25">
      <c r="A46" s="334"/>
      <c r="B46" s="89"/>
      <c r="C46" s="74" t="s">
        <v>94</v>
      </c>
      <c r="D46" s="75">
        <v>9000</v>
      </c>
    </row>
    <row r="47" spans="1:4" ht="12.75">
      <c r="A47" s="334"/>
      <c r="B47" s="335" t="s">
        <v>77</v>
      </c>
      <c r="C47" s="335"/>
      <c r="D47" s="71">
        <f>SUM(D48:D48)</f>
        <v>20528302</v>
      </c>
    </row>
    <row r="48" spans="1:4" ht="25.5">
      <c r="A48" s="334"/>
      <c r="B48" s="76"/>
      <c r="C48" s="74" t="s">
        <v>95</v>
      </c>
      <c r="D48" s="75">
        <v>20528302</v>
      </c>
    </row>
    <row r="49" spans="1:4" s="88" customFormat="1" ht="15.75">
      <c r="A49" s="84">
        <v>700</v>
      </c>
      <c r="B49" s="84"/>
      <c r="C49" s="65" t="s">
        <v>96</v>
      </c>
      <c r="D49" s="66">
        <f>D50</f>
        <v>17682000</v>
      </c>
    </row>
    <row r="50" spans="1:4" ht="15">
      <c r="A50" s="334"/>
      <c r="B50" s="89">
        <v>70005</v>
      </c>
      <c r="C50" s="69" t="s">
        <v>97</v>
      </c>
      <c r="D50" s="70">
        <f>SUM(D51,D54)</f>
        <v>17682000</v>
      </c>
    </row>
    <row r="51" spans="1:4" ht="12.75">
      <c r="A51" s="334"/>
      <c r="B51" s="335" t="s">
        <v>68</v>
      </c>
      <c r="C51" s="335"/>
      <c r="D51" s="77">
        <f>SUM(D52:D53)</f>
        <v>452000</v>
      </c>
    </row>
    <row r="52" spans="1:4" ht="12.75">
      <c r="A52" s="334"/>
      <c r="B52" s="334"/>
      <c r="C52" s="74" t="s">
        <v>98</v>
      </c>
      <c r="D52" s="90">
        <v>250000</v>
      </c>
    </row>
    <row r="53" spans="1:4" ht="12.75">
      <c r="A53" s="334"/>
      <c r="B53" s="334"/>
      <c r="C53" s="74" t="s">
        <v>99</v>
      </c>
      <c r="D53" s="90">
        <v>202000</v>
      </c>
    </row>
    <row r="54" spans="1:4" ht="12.75">
      <c r="A54" s="334"/>
      <c r="B54" s="335" t="s">
        <v>77</v>
      </c>
      <c r="C54" s="335"/>
      <c r="D54" s="71">
        <f>SUM(D55)</f>
        <v>17230000</v>
      </c>
    </row>
    <row r="55" spans="1:4" ht="12.75">
      <c r="A55" s="334"/>
      <c r="B55" s="81"/>
      <c r="C55" s="74" t="s">
        <v>100</v>
      </c>
      <c r="D55" s="75">
        <v>17230000</v>
      </c>
    </row>
    <row r="56" spans="1:4" s="88" customFormat="1" ht="15.75">
      <c r="A56" s="84">
        <v>710</v>
      </c>
      <c r="B56" s="84"/>
      <c r="C56" s="65" t="s">
        <v>101</v>
      </c>
      <c r="D56" s="66">
        <f>SUM(D57,D61,D65,D69)</f>
        <v>880000</v>
      </c>
    </row>
    <row r="57" spans="1:4" ht="15">
      <c r="A57" s="338"/>
      <c r="B57" s="89">
        <v>71003</v>
      </c>
      <c r="C57" s="69" t="s">
        <v>102</v>
      </c>
      <c r="D57" s="70">
        <f>SUM(D58,D60)</f>
        <v>400000</v>
      </c>
    </row>
    <row r="58" spans="1:4" ht="12.75">
      <c r="A58" s="338"/>
      <c r="B58" s="335" t="s">
        <v>68</v>
      </c>
      <c r="C58" s="335"/>
      <c r="D58" s="77">
        <f>SUM(D59:D59)</f>
        <v>400000</v>
      </c>
    </row>
    <row r="59" spans="1:4" ht="25.5">
      <c r="A59" s="338"/>
      <c r="B59" s="89"/>
      <c r="C59" s="74" t="s">
        <v>103</v>
      </c>
      <c r="D59" s="75">
        <v>400000</v>
      </c>
    </row>
    <row r="60" spans="1:4" ht="12.75">
      <c r="A60" s="338"/>
      <c r="B60" s="335" t="s">
        <v>70</v>
      </c>
      <c r="C60" s="335"/>
      <c r="D60" s="71">
        <v>0</v>
      </c>
    </row>
    <row r="61" spans="1:4" ht="15">
      <c r="A61" s="338"/>
      <c r="B61" s="89">
        <v>71012</v>
      </c>
      <c r="C61" s="69" t="s">
        <v>104</v>
      </c>
      <c r="D61" s="70">
        <f>SUM(D62,D64)</f>
        <v>270000</v>
      </c>
    </row>
    <row r="62" spans="1:4" ht="12.75">
      <c r="A62" s="338"/>
      <c r="B62" s="335" t="s">
        <v>68</v>
      </c>
      <c r="C62" s="335"/>
      <c r="D62" s="77">
        <f>SUM(D63)</f>
        <v>270000</v>
      </c>
    </row>
    <row r="63" spans="1:4" ht="25.5">
      <c r="A63" s="338"/>
      <c r="B63" s="89"/>
      <c r="C63" s="74" t="s">
        <v>69</v>
      </c>
      <c r="D63" s="90">
        <v>270000</v>
      </c>
    </row>
    <row r="64" spans="1:4" ht="12.75">
      <c r="A64" s="338"/>
      <c r="B64" s="335" t="s">
        <v>70</v>
      </c>
      <c r="C64" s="335"/>
      <c r="D64" s="71">
        <v>0</v>
      </c>
    </row>
    <row r="65" spans="1:4" ht="15">
      <c r="A65" s="338"/>
      <c r="B65" s="89">
        <v>71013</v>
      </c>
      <c r="C65" s="91" t="s">
        <v>105</v>
      </c>
      <c r="D65" s="70">
        <f>SUM(D66,D68)</f>
        <v>25000</v>
      </c>
    </row>
    <row r="66" spans="1:4" ht="12.75">
      <c r="A66" s="338"/>
      <c r="B66" s="335" t="s">
        <v>68</v>
      </c>
      <c r="C66" s="335"/>
      <c r="D66" s="77">
        <f>SUM(D67)</f>
        <v>25000</v>
      </c>
    </row>
    <row r="67" spans="1:4" ht="25.5">
      <c r="A67" s="338"/>
      <c r="B67" s="89"/>
      <c r="C67" s="74" t="s">
        <v>69</v>
      </c>
      <c r="D67" s="90">
        <v>25000</v>
      </c>
    </row>
    <row r="68" spans="1:4" ht="12.75">
      <c r="A68" s="338"/>
      <c r="B68" s="335" t="s">
        <v>70</v>
      </c>
      <c r="C68" s="335"/>
      <c r="D68" s="71">
        <v>0</v>
      </c>
    </row>
    <row r="69" spans="1:4" ht="15">
      <c r="A69" s="338"/>
      <c r="B69" s="89">
        <v>71095</v>
      </c>
      <c r="C69" s="91" t="s">
        <v>106</v>
      </c>
      <c r="D69" s="92">
        <f>SUM(D70,D72)</f>
        <v>185000</v>
      </c>
    </row>
    <row r="70" spans="1:4" ht="12.75">
      <c r="A70" s="338"/>
      <c r="B70" s="335" t="s">
        <v>68</v>
      </c>
      <c r="C70" s="335"/>
      <c r="D70" s="77">
        <f>SUM(D71)</f>
        <v>185000</v>
      </c>
    </row>
    <row r="71" spans="1:4" ht="25.5">
      <c r="A71" s="338"/>
      <c r="B71" s="89"/>
      <c r="C71" s="74" t="s">
        <v>69</v>
      </c>
      <c r="D71" s="90">
        <v>185000</v>
      </c>
    </row>
    <row r="72" spans="1:4" ht="12.75">
      <c r="A72" s="338"/>
      <c r="B72" s="335" t="s">
        <v>70</v>
      </c>
      <c r="C72" s="335"/>
      <c r="D72" s="75">
        <v>0</v>
      </c>
    </row>
    <row r="73" spans="1:4" s="88" customFormat="1" ht="15.75">
      <c r="A73" s="84">
        <v>750</v>
      </c>
      <c r="B73" s="84"/>
      <c r="C73" s="65" t="s">
        <v>107</v>
      </c>
      <c r="D73" s="66">
        <f>SUM(D81,D86,D92,D97,D102,D74)</f>
        <v>2417950.85</v>
      </c>
    </row>
    <row r="74" spans="1:4" ht="15">
      <c r="A74" s="334"/>
      <c r="B74" s="89">
        <v>75001</v>
      </c>
      <c r="C74" s="69" t="s">
        <v>108</v>
      </c>
      <c r="D74" s="70">
        <f>SUM(D75,D78)</f>
        <v>845155</v>
      </c>
    </row>
    <row r="75" spans="1:4" ht="12.75">
      <c r="A75" s="334"/>
      <c r="B75" s="335" t="s">
        <v>68</v>
      </c>
      <c r="C75" s="335"/>
      <c r="D75" s="77">
        <f>SUM(D76:D77)</f>
        <v>825155</v>
      </c>
    </row>
    <row r="76" spans="1:4" ht="25.5">
      <c r="A76" s="334"/>
      <c r="B76" s="339"/>
      <c r="C76" s="93" t="s">
        <v>109</v>
      </c>
      <c r="D76" s="90">
        <v>701382</v>
      </c>
    </row>
    <row r="77" spans="1:4" s="63" customFormat="1" ht="25.5">
      <c r="A77" s="334"/>
      <c r="B77" s="339"/>
      <c r="C77" s="93" t="s">
        <v>110</v>
      </c>
      <c r="D77" s="90">
        <v>123773</v>
      </c>
    </row>
    <row r="78" spans="1:4" ht="12.75">
      <c r="A78" s="334"/>
      <c r="B78" s="335" t="s">
        <v>77</v>
      </c>
      <c r="C78" s="335"/>
      <c r="D78" s="77">
        <f>SUM(D79:D80)</f>
        <v>20000</v>
      </c>
    </row>
    <row r="79" spans="1:4" ht="25.5">
      <c r="A79" s="334"/>
      <c r="B79" s="339"/>
      <c r="C79" s="93" t="s">
        <v>109</v>
      </c>
      <c r="D79" s="90">
        <v>17000</v>
      </c>
    </row>
    <row r="80" spans="1:4" ht="25.5">
      <c r="A80" s="334"/>
      <c r="B80" s="339"/>
      <c r="C80" s="93" t="s">
        <v>110</v>
      </c>
      <c r="D80" s="90">
        <v>3000</v>
      </c>
    </row>
    <row r="81" spans="1:4" ht="15">
      <c r="A81" s="334"/>
      <c r="B81" s="89">
        <v>75011</v>
      </c>
      <c r="C81" s="69" t="s">
        <v>111</v>
      </c>
      <c r="D81" s="70">
        <f>SUM(D82,D85)</f>
        <v>876000</v>
      </c>
    </row>
    <row r="82" spans="1:4" ht="12.75">
      <c r="A82" s="334"/>
      <c r="B82" s="335" t="s">
        <v>68</v>
      </c>
      <c r="C82" s="335"/>
      <c r="D82" s="77">
        <f>SUM(D83:D84)</f>
        <v>876000</v>
      </c>
    </row>
    <row r="83" spans="1:4" ht="25.5">
      <c r="A83" s="334"/>
      <c r="B83" s="337"/>
      <c r="C83" s="74" t="s">
        <v>69</v>
      </c>
      <c r="D83" s="90">
        <v>689000</v>
      </c>
    </row>
    <row r="84" spans="1:4" ht="25.5">
      <c r="A84" s="334"/>
      <c r="B84" s="337"/>
      <c r="C84" s="74" t="s">
        <v>112</v>
      </c>
      <c r="D84" s="90">
        <v>187000</v>
      </c>
    </row>
    <row r="85" spans="1:4" ht="12.75">
      <c r="A85" s="334"/>
      <c r="B85" s="335" t="s">
        <v>70</v>
      </c>
      <c r="C85" s="335"/>
      <c r="D85" s="71">
        <v>0</v>
      </c>
    </row>
    <row r="86" spans="1:4" ht="15">
      <c r="A86" s="334"/>
      <c r="B86" s="89">
        <v>75018</v>
      </c>
      <c r="C86" s="69" t="s">
        <v>113</v>
      </c>
      <c r="D86" s="70">
        <f>SUM(D87,D91)</f>
        <v>194430</v>
      </c>
    </row>
    <row r="87" spans="1:4" ht="12.75">
      <c r="A87" s="334"/>
      <c r="B87" s="335" t="s">
        <v>68</v>
      </c>
      <c r="C87" s="335"/>
      <c r="D87" s="77">
        <f>SUM(D88:D90)</f>
        <v>194430</v>
      </c>
    </row>
    <row r="88" spans="1:4" ht="51">
      <c r="A88" s="334"/>
      <c r="B88" s="337"/>
      <c r="C88" s="74" t="s">
        <v>114</v>
      </c>
      <c r="D88" s="75">
        <v>116000</v>
      </c>
    </row>
    <row r="89" spans="1:4" ht="25.5">
      <c r="A89" s="334"/>
      <c r="B89" s="337"/>
      <c r="C89" s="74" t="s">
        <v>112</v>
      </c>
      <c r="D89" s="75">
        <v>62000</v>
      </c>
    </row>
    <row r="90" spans="1:4" ht="38.25">
      <c r="A90" s="334"/>
      <c r="B90" s="337"/>
      <c r="C90" s="74" t="s">
        <v>115</v>
      </c>
      <c r="D90" s="94">
        <v>16430</v>
      </c>
    </row>
    <row r="91" spans="1:4" ht="12.75">
      <c r="A91" s="334"/>
      <c r="B91" s="335" t="s">
        <v>70</v>
      </c>
      <c r="C91" s="335"/>
      <c r="D91" s="71"/>
    </row>
    <row r="92" spans="1:4" ht="15">
      <c r="A92" s="334"/>
      <c r="B92" s="89">
        <v>75046</v>
      </c>
      <c r="C92" s="69" t="s">
        <v>116</v>
      </c>
      <c r="D92" s="70">
        <f>SUM(D93,D96)</f>
        <v>64736.85</v>
      </c>
    </row>
    <row r="93" spans="1:4" ht="12.75" customHeight="1">
      <c r="A93" s="334"/>
      <c r="B93" s="335" t="s">
        <v>68</v>
      </c>
      <c r="C93" s="335"/>
      <c r="D93" s="77">
        <f>SUM(D94:D95)</f>
        <v>64736.85</v>
      </c>
    </row>
    <row r="94" spans="1:4" ht="25.5">
      <c r="A94" s="334"/>
      <c r="B94" s="337"/>
      <c r="C94" s="74" t="s">
        <v>76</v>
      </c>
      <c r="D94" s="75">
        <v>4736.85</v>
      </c>
    </row>
    <row r="95" spans="1:4" ht="25.5">
      <c r="A95" s="334"/>
      <c r="B95" s="340"/>
      <c r="C95" s="74" t="s">
        <v>69</v>
      </c>
      <c r="D95" s="75">
        <v>60000</v>
      </c>
    </row>
    <row r="96" spans="1:4" ht="12.75" customHeight="1">
      <c r="A96" s="334"/>
      <c r="B96" s="335" t="s">
        <v>70</v>
      </c>
      <c r="C96" s="335"/>
      <c r="D96" s="71">
        <v>0</v>
      </c>
    </row>
    <row r="97" spans="1:4" ht="15">
      <c r="A97" s="334"/>
      <c r="B97" s="89">
        <v>75071</v>
      </c>
      <c r="C97" s="69" t="s">
        <v>117</v>
      </c>
      <c r="D97" s="70">
        <f>SUM(D98,D101)</f>
        <v>296000</v>
      </c>
    </row>
    <row r="98" spans="1:4" ht="12.75" customHeight="1">
      <c r="A98" s="334"/>
      <c r="B98" s="335" t="s">
        <v>68</v>
      </c>
      <c r="C98" s="335"/>
      <c r="D98" s="77">
        <f>SUM(D99:D100)</f>
        <v>296000</v>
      </c>
    </row>
    <row r="99" spans="1:4" ht="38.25">
      <c r="A99" s="334"/>
      <c r="B99" s="341"/>
      <c r="C99" s="74" t="s">
        <v>118</v>
      </c>
      <c r="D99" s="75">
        <v>251600</v>
      </c>
    </row>
    <row r="100" spans="1:4" ht="38.25">
      <c r="A100" s="334"/>
      <c r="B100" s="342"/>
      <c r="C100" s="74" t="s">
        <v>119</v>
      </c>
      <c r="D100" s="75">
        <v>44400</v>
      </c>
    </row>
    <row r="101" spans="1:4" ht="12.75" customHeight="1">
      <c r="A101" s="334"/>
      <c r="B101" s="335" t="s">
        <v>70</v>
      </c>
      <c r="C101" s="335"/>
      <c r="D101" s="71">
        <v>0</v>
      </c>
    </row>
    <row r="102" spans="1:4" ht="15">
      <c r="A102" s="334"/>
      <c r="B102" s="89">
        <v>75075</v>
      </c>
      <c r="C102" s="69" t="s">
        <v>120</v>
      </c>
      <c r="D102" s="70">
        <f>SUM(D103,D105)</f>
        <v>141629</v>
      </c>
    </row>
    <row r="103" spans="1:4" ht="12.75">
      <c r="A103" s="334"/>
      <c r="B103" s="335" t="s">
        <v>68</v>
      </c>
      <c r="C103" s="335"/>
      <c r="D103" s="77">
        <f>SUM(D104:D104)</f>
        <v>141629</v>
      </c>
    </row>
    <row r="104" spans="1:4" ht="38.25">
      <c r="A104" s="334"/>
      <c r="B104" s="89"/>
      <c r="C104" s="74" t="s">
        <v>121</v>
      </c>
      <c r="D104" s="75">
        <v>141629</v>
      </c>
    </row>
    <row r="105" spans="1:4" ht="12.75">
      <c r="A105" s="334"/>
      <c r="B105" s="335" t="s">
        <v>70</v>
      </c>
      <c r="C105" s="335"/>
      <c r="D105" s="71"/>
    </row>
    <row r="106" spans="1:4" s="88" customFormat="1" ht="15.75">
      <c r="A106" s="95">
        <v>752</v>
      </c>
      <c r="B106" s="96"/>
      <c r="C106" s="97" t="s">
        <v>122</v>
      </c>
      <c r="D106" s="66">
        <f>D107</f>
        <v>2500</v>
      </c>
    </row>
    <row r="107" spans="1:4" ht="15">
      <c r="A107" s="338"/>
      <c r="B107" s="98">
        <v>75212</v>
      </c>
      <c r="C107" s="99" t="s">
        <v>123</v>
      </c>
      <c r="D107" s="70">
        <f>SUM(D108,D110)</f>
        <v>2500</v>
      </c>
    </row>
    <row r="108" spans="1:4" ht="12.75">
      <c r="A108" s="338"/>
      <c r="B108" s="335" t="s">
        <v>68</v>
      </c>
      <c r="C108" s="335"/>
      <c r="D108" s="77">
        <f>SUM(D109)</f>
        <v>2500</v>
      </c>
    </row>
    <row r="109" spans="1:4" ht="25.5">
      <c r="A109" s="338"/>
      <c r="B109" s="76"/>
      <c r="C109" s="74" t="s">
        <v>69</v>
      </c>
      <c r="D109" s="90">
        <v>2500</v>
      </c>
    </row>
    <row r="110" spans="1:4" ht="12.75">
      <c r="A110" s="338"/>
      <c r="B110" s="335" t="s">
        <v>70</v>
      </c>
      <c r="C110" s="335"/>
      <c r="D110" s="71">
        <v>0</v>
      </c>
    </row>
    <row r="111" spans="1:4" s="88" customFormat="1" ht="47.25">
      <c r="A111" s="95">
        <v>756</v>
      </c>
      <c r="B111" s="84"/>
      <c r="C111" s="65" t="s">
        <v>124</v>
      </c>
      <c r="D111" s="66">
        <f>D112+D117</f>
        <v>145019588</v>
      </c>
    </row>
    <row r="112" spans="1:4" ht="30">
      <c r="A112" s="338"/>
      <c r="B112" s="89">
        <v>75618</v>
      </c>
      <c r="C112" s="69" t="s">
        <v>125</v>
      </c>
      <c r="D112" s="70">
        <f>SUM(D113,D116)</f>
        <v>533950</v>
      </c>
    </row>
    <row r="113" spans="1:4" ht="12.75">
      <c r="A113" s="338"/>
      <c r="B113" s="335" t="s">
        <v>68</v>
      </c>
      <c r="C113" s="335"/>
      <c r="D113" s="77">
        <f>SUM(D114:D115)</f>
        <v>533950</v>
      </c>
    </row>
    <row r="114" spans="1:4" ht="12.75">
      <c r="A114" s="338"/>
      <c r="B114" s="337"/>
      <c r="C114" s="74" t="s">
        <v>126</v>
      </c>
      <c r="D114" s="90">
        <v>529200</v>
      </c>
    </row>
    <row r="115" spans="1:4" ht="25.5">
      <c r="A115" s="338"/>
      <c r="B115" s="337"/>
      <c r="C115" s="74" t="s">
        <v>127</v>
      </c>
      <c r="D115" s="90">
        <v>4750</v>
      </c>
    </row>
    <row r="116" spans="1:4" ht="12.75">
      <c r="A116" s="338"/>
      <c r="B116" s="335" t="s">
        <v>70</v>
      </c>
      <c r="C116" s="335"/>
      <c r="D116" s="71">
        <v>0</v>
      </c>
    </row>
    <row r="117" spans="1:4" ht="15">
      <c r="A117" s="338"/>
      <c r="B117" s="89">
        <v>75623</v>
      </c>
      <c r="C117" s="69" t="s">
        <v>128</v>
      </c>
      <c r="D117" s="70">
        <f>SUM(D118,D121)</f>
        <v>144485638</v>
      </c>
    </row>
    <row r="118" spans="1:4" ht="12.75">
      <c r="A118" s="338"/>
      <c r="B118" s="335" t="s">
        <v>68</v>
      </c>
      <c r="C118" s="335"/>
      <c r="D118" s="71">
        <f>SUM(D119:D120)</f>
        <v>144485638</v>
      </c>
    </row>
    <row r="119" spans="1:4" ht="12.75">
      <c r="A119" s="338"/>
      <c r="B119" s="337"/>
      <c r="C119" s="74" t="s">
        <v>129</v>
      </c>
      <c r="D119" s="75">
        <v>29485638</v>
      </c>
    </row>
    <row r="120" spans="1:4" ht="12.75">
      <c r="A120" s="338"/>
      <c r="B120" s="340"/>
      <c r="C120" s="74" t="s">
        <v>130</v>
      </c>
      <c r="D120" s="75">
        <v>115000000</v>
      </c>
    </row>
    <row r="121" spans="1:4" ht="12.75">
      <c r="A121" s="338"/>
      <c r="B121" s="335" t="s">
        <v>70</v>
      </c>
      <c r="C121" s="335"/>
      <c r="D121" s="71">
        <v>0</v>
      </c>
    </row>
    <row r="122" spans="1:4" s="88" customFormat="1" ht="15.75">
      <c r="A122" s="84">
        <v>758</v>
      </c>
      <c r="B122" s="84"/>
      <c r="C122" s="65" t="s">
        <v>131</v>
      </c>
      <c r="D122" s="66">
        <f>SUM(D123,D127,D131,D135,D139,D145)</f>
        <v>472281981</v>
      </c>
    </row>
    <row r="123" spans="1:4" ht="30">
      <c r="A123" s="338"/>
      <c r="B123" s="89">
        <v>75801</v>
      </c>
      <c r="C123" s="69" t="s">
        <v>132</v>
      </c>
      <c r="D123" s="70">
        <f>SUM(D124,D126)</f>
        <v>47771045</v>
      </c>
    </row>
    <row r="124" spans="1:4" ht="12.75">
      <c r="A124" s="338"/>
      <c r="B124" s="335" t="s">
        <v>68</v>
      </c>
      <c r="C124" s="335"/>
      <c r="D124" s="71">
        <f>SUM(D125)</f>
        <v>47771045</v>
      </c>
    </row>
    <row r="125" spans="1:4" ht="15">
      <c r="A125" s="338"/>
      <c r="B125" s="89"/>
      <c r="C125" s="74" t="s">
        <v>133</v>
      </c>
      <c r="D125" s="75">
        <v>47771045</v>
      </c>
    </row>
    <row r="126" spans="1:4" ht="12.75">
      <c r="A126" s="338"/>
      <c r="B126" s="335" t="s">
        <v>70</v>
      </c>
      <c r="C126" s="335"/>
      <c r="D126" s="71">
        <v>0</v>
      </c>
    </row>
    <row r="127" spans="1:4" ht="15">
      <c r="A127" s="338"/>
      <c r="B127" s="89">
        <v>75804</v>
      </c>
      <c r="C127" s="69" t="s">
        <v>134</v>
      </c>
      <c r="D127" s="70">
        <f>SUM(D128,D130)</f>
        <v>160533671</v>
      </c>
    </row>
    <row r="128" spans="1:4" ht="12.75">
      <c r="A128" s="338"/>
      <c r="B128" s="335" t="s">
        <v>68</v>
      </c>
      <c r="C128" s="335"/>
      <c r="D128" s="71">
        <f>SUM(D129)</f>
        <v>160533671</v>
      </c>
    </row>
    <row r="129" spans="1:4" ht="15">
      <c r="A129" s="338"/>
      <c r="B129" s="89"/>
      <c r="C129" s="74" t="s">
        <v>133</v>
      </c>
      <c r="D129" s="75">
        <v>160533671</v>
      </c>
    </row>
    <row r="130" spans="1:4" ht="12.75">
      <c r="A130" s="338"/>
      <c r="B130" s="335" t="s">
        <v>70</v>
      </c>
      <c r="C130" s="335"/>
      <c r="D130" s="71">
        <v>0</v>
      </c>
    </row>
    <row r="131" spans="1:4" ht="15">
      <c r="A131" s="338"/>
      <c r="B131" s="89">
        <v>75814</v>
      </c>
      <c r="C131" s="69" t="s">
        <v>135</v>
      </c>
      <c r="D131" s="70">
        <f>SUM(D132,D134)</f>
        <v>2000000</v>
      </c>
    </row>
    <row r="132" spans="1:4" ht="12.75">
      <c r="A132" s="338"/>
      <c r="B132" s="335" t="s">
        <v>68</v>
      </c>
      <c r="C132" s="335"/>
      <c r="D132" s="77">
        <f>SUM(D133)</f>
        <v>2000000</v>
      </c>
    </row>
    <row r="133" spans="1:4" ht="15">
      <c r="A133" s="338"/>
      <c r="B133" s="89"/>
      <c r="C133" s="74" t="s">
        <v>136</v>
      </c>
      <c r="D133" s="75">
        <v>2000000</v>
      </c>
    </row>
    <row r="134" spans="1:4" ht="12.75">
      <c r="A134" s="338"/>
      <c r="B134" s="335" t="s">
        <v>70</v>
      </c>
      <c r="C134" s="335"/>
      <c r="D134" s="71">
        <v>0</v>
      </c>
    </row>
    <row r="135" spans="1:4" ht="15">
      <c r="A135" s="338"/>
      <c r="B135" s="89">
        <v>75833</v>
      </c>
      <c r="C135" s="69" t="s">
        <v>137</v>
      </c>
      <c r="D135" s="70">
        <f>SUM(D136,D138)</f>
        <v>121256867</v>
      </c>
    </row>
    <row r="136" spans="1:4" ht="12.75">
      <c r="A136" s="338"/>
      <c r="B136" s="335" t="s">
        <v>68</v>
      </c>
      <c r="C136" s="335"/>
      <c r="D136" s="71">
        <f>SUM(D137)</f>
        <v>121256867</v>
      </c>
    </row>
    <row r="137" spans="1:4" ht="15">
      <c r="A137" s="338"/>
      <c r="B137" s="89"/>
      <c r="C137" s="74" t="s">
        <v>133</v>
      </c>
      <c r="D137" s="75">
        <v>121256867</v>
      </c>
    </row>
    <row r="138" spans="1:4" ht="12.75">
      <c r="A138" s="338"/>
      <c r="B138" s="335" t="s">
        <v>70</v>
      </c>
      <c r="C138" s="335"/>
      <c r="D138" s="71">
        <v>0</v>
      </c>
    </row>
    <row r="139" spans="1:4" ht="15">
      <c r="A139" s="338"/>
      <c r="B139" s="89">
        <v>75861</v>
      </c>
      <c r="C139" s="69" t="s">
        <v>138</v>
      </c>
      <c r="D139" s="70">
        <f>SUM(D140,D142)</f>
        <v>117746555</v>
      </c>
    </row>
    <row r="140" spans="1:4" ht="12.75">
      <c r="A140" s="338"/>
      <c r="B140" s="335" t="s">
        <v>68</v>
      </c>
      <c r="C140" s="335"/>
      <c r="D140" s="71">
        <f>SUM(D141)</f>
        <v>19756000</v>
      </c>
    </row>
    <row r="141" spans="1:4" ht="25.5">
      <c r="A141" s="338"/>
      <c r="B141" s="89"/>
      <c r="C141" s="74" t="s">
        <v>139</v>
      </c>
      <c r="D141" s="75">
        <v>19756000</v>
      </c>
    </row>
    <row r="142" spans="1:4" ht="12.75">
      <c r="A142" s="338"/>
      <c r="B142" s="335" t="s">
        <v>77</v>
      </c>
      <c r="C142" s="335"/>
      <c r="D142" s="71">
        <f>SUM(D143:D144)</f>
        <v>97990555</v>
      </c>
    </row>
    <row r="143" spans="1:4" ht="25.5">
      <c r="A143" s="338"/>
      <c r="B143" s="339"/>
      <c r="C143" s="93" t="s">
        <v>140</v>
      </c>
      <c r="D143" s="90">
        <f>88711889+4529666</f>
        <v>93241555</v>
      </c>
    </row>
    <row r="144" spans="1:4" ht="25.5">
      <c r="A144" s="338"/>
      <c r="B144" s="339"/>
      <c r="C144" s="93" t="s">
        <v>141</v>
      </c>
      <c r="D144" s="90">
        <v>4749000</v>
      </c>
    </row>
    <row r="145" spans="1:4" ht="15">
      <c r="A145" s="338"/>
      <c r="B145" s="89">
        <v>75862</v>
      </c>
      <c r="C145" s="69" t="s">
        <v>142</v>
      </c>
      <c r="D145" s="70">
        <f>SUM(D146,D149)</f>
        <v>22973843</v>
      </c>
    </row>
    <row r="146" spans="1:4" ht="12.75">
      <c r="A146" s="338"/>
      <c r="B146" s="335" t="s">
        <v>68</v>
      </c>
      <c r="C146" s="335"/>
      <c r="D146" s="77">
        <f>SUM(D147:D148)</f>
        <v>22243924</v>
      </c>
    </row>
    <row r="147" spans="1:4" ht="15" customHeight="1">
      <c r="A147" s="338"/>
      <c r="B147" s="337"/>
      <c r="C147" s="93" t="s">
        <v>143</v>
      </c>
      <c r="D147" s="90">
        <v>20036247</v>
      </c>
    </row>
    <row r="148" spans="1:4" ht="15" customHeight="1">
      <c r="A148" s="338"/>
      <c r="B148" s="337"/>
      <c r="C148" s="74" t="s">
        <v>144</v>
      </c>
      <c r="D148" s="90">
        <v>2207677</v>
      </c>
    </row>
    <row r="149" spans="1:4" ht="12.75">
      <c r="A149" s="338"/>
      <c r="B149" s="335" t="s">
        <v>77</v>
      </c>
      <c r="C149" s="335"/>
      <c r="D149" s="77">
        <f>SUM(D150:D151)</f>
        <v>729919</v>
      </c>
    </row>
    <row r="150" spans="1:4" ht="25.5">
      <c r="A150" s="338"/>
      <c r="B150" s="339"/>
      <c r="C150" s="93" t="s">
        <v>143</v>
      </c>
      <c r="D150" s="90">
        <v>668699</v>
      </c>
    </row>
    <row r="151" spans="1:4" ht="12.75">
      <c r="A151" s="338"/>
      <c r="B151" s="339"/>
      <c r="C151" s="74" t="s">
        <v>144</v>
      </c>
      <c r="D151" s="90">
        <v>61220</v>
      </c>
    </row>
    <row r="152" spans="1:4" s="88" customFormat="1" ht="15.75">
      <c r="A152" s="84">
        <v>801</v>
      </c>
      <c r="B152" s="84"/>
      <c r="C152" s="65" t="s">
        <v>145</v>
      </c>
      <c r="D152" s="66">
        <f>SUM(D153)</f>
        <v>110742</v>
      </c>
    </row>
    <row r="153" spans="1:4" ht="15">
      <c r="A153" s="334"/>
      <c r="B153" s="98">
        <v>80146</v>
      </c>
      <c r="C153" s="100" t="s">
        <v>146</v>
      </c>
      <c r="D153" s="70">
        <f>SUM(D154,D157)</f>
        <v>110742</v>
      </c>
    </row>
    <row r="154" spans="1:4" ht="12.75">
      <c r="A154" s="334"/>
      <c r="B154" s="335" t="s">
        <v>68</v>
      </c>
      <c r="C154" s="335"/>
      <c r="D154" s="77">
        <f>SUM(D155:D156)</f>
        <v>110742</v>
      </c>
    </row>
    <row r="155" spans="1:4" ht="38.25">
      <c r="A155" s="334"/>
      <c r="B155" s="339"/>
      <c r="C155" s="93" t="s">
        <v>147</v>
      </c>
      <c r="D155" s="90">
        <v>94131</v>
      </c>
    </row>
    <row r="156" spans="1:4" ht="38.25">
      <c r="A156" s="334"/>
      <c r="B156" s="339"/>
      <c r="C156" s="74" t="s">
        <v>148</v>
      </c>
      <c r="D156" s="90">
        <v>16611</v>
      </c>
    </row>
    <row r="157" spans="1:4" ht="12.75">
      <c r="A157" s="334"/>
      <c r="B157" s="335" t="s">
        <v>70</v>
      </c>
      <c r="C157" s="335"/>
      <c r="D157" s="71">
        <v>0</v>
      </c>
    </row>
    <row r="158" spans="1:4" s="88" customFormat="1" ht="15.75">
      <c r="A158" s="84">
        <v>851</v>
      </c>
      <c r="B158" s="84"/>
      <c r="C158" s="65" t="s">
        <v>149</v>
      </c>
      <c r="D158" s="66">
        <f>SUM(D159,D163)</f>
        <v>515000</v>
      </c>
    </row>
    <row r="159" spans="1:4" ht="15">
      <c r="A159" s="334"/>
      <c r="B159" s="89">
        <v>85141</v>
      </c>
      <c r="C159" s="69" t="s">
        <v>150</v>
      </c>
      <c r="D159" s="70">
        <f>SUM(D160,D161)</f>
        <v>500000</v>
      </c>
    </row>
    <row r="160" spans="1:4" ht="12.75">
      <c r="A160" s="334"/>
      <c r="B160" s="335" t="s">
        <v>83</v>
      </c>
      <c r="C160" s="335"/>
      <c r="D160" s="71">
        <v>0</v>
      </c>
    </row>
    <row r="161" spans="1:4" ht="12.75">
      <c r="A161" s="334"/>
      <c r="B161" s="335" t="s">
        <v>77</v>
      </c>
      <c r="C161" s="335"/>
      <c r="D161" s="71">
        <f>SUM(D162:D162)</f>
        <v>500000</v>
      </c>
    </row>
    <row r="162" spans="1:4" ht="38.25">
      <c r="A162" s="334"/>
      <c r="B162" s="81"/>
      <c r="C162" s="74" t="s">
        <v>78</v>
      </c>
      <c r="D162" s="75">
        <v>500000</v>
      </c>
    </row>
    <row r="163" spans="1:4" ht="30">
      <c r="A163" s="334"/>
      <c r="B163" s="89">
        <v>85156</v>
      </c>
      <c r="C163" s="69" t="s">
        <v>151</v>
      </c>
      <c r="D163" s="70">
        <f>SUM(D164,D166)</f>
        <v>15000</v>
      </c>
    </row>
    <row r="164" spans="1:4" ht="12.75">
      <c r="A164" s="334"/>
      <c r="B164" s="335" t="s">
        <v>68</v>
      </c>
      <c r="C164" s="335"/>
      <c r="D164" s="71">
        <f>SUM(D165)</f>
        <v>15000</v>
      </c>
    </row>
    <row r="165" spans="1:4" ht="25.5">
      <c r="A165" s="334"/>
      <c r="B165" s="89"/>
      <c r="C165" s="74" t="s">
        <v>69</v>
      </c>
      <c r="D165" s="75">
        <v>15000</v>
      </c>
    </row>
    <row r="166" spans="1:4" ht="12.75">
      <c r="A166" s="334"/>
      <c r="B166" s="335" t="s">
        <v>70</v>
      </c>
      <c r="C166" s="335"/>
      <c r="D166" s="71">
        <v>0</v>
      </c>
    </row>
    <row r="167" spans="1:4" s="88" customFormat="1" ht="15.75">
      <c r="A167" s="84">
        <v>852</v>
      </c>
      <c r="B167" s="84"/>
      <c r="C167" s="65" t="s">
        <v>152</v>
      </c>
      <c r="D167" s="66">
        <f>SUM(D168,D172)</f>
        <v>757016</v>
      </c>
    </row>
    <row r="168" spans="1:4" ht="45">
      <c r="A168" s="338"/>
      <c r="B168" s="89">
        <v>85212</v>
      </c>
      <c r="C168" s="69" t="s">
        <v>153</v>
      </c>
      <c r="D168" s="70">
        <f>SUM(D169,D171)</f>
        <v>743000</v>
      </c>
    </row>
    <row r="169" spans="1:4" ht="12.75">
      <c r="A169" s="338"/>
      <c r="B169" s="335" t="s">
        <v>68</v>
      </c>
      <c r="C169" s="335"/>
      <c r="D169" s="77">
        <f>SUM(D170)</f>
        <v>743000</v>
      </c>
    </row>
    <row r="170" spans="1:4" ht="25.5">
      <c r="A170" s="338"/>
      <c r="B170" s="89"/>
      <c r="C170" s="74" t="s">
        <v>69</v>
      </c>
      <c r="D170" s="90">
        <v>743000</v>
      </c>
    </row>
    <row r="171" spans="1:4" ht="12.75">
      <c r="A171" s="338"/>
      <c r="B171" s="335" t="s">
        <v>70</v>
      </c>
      <c r="C171" s="335"/>
      <c r="D171" s="77">
        <v>0</v>
      </c>
    </row>
    <row r="172" spans="1:4" ht="15">
      <c r="A172" s="338"/>
      <c r="B172" s="89">
        <v>85217</v>
      </c>
      <c r="C172" s="69" t="s">
        <v>154</v>
      </c>
      <c r="D172" s="70">
        <f>SUM(D173,D175)</f>
        <v>14016</v>
      </c>
    </row>
    <row r="173" spans="1:4" ht="12.75">
      <c r="A173" s="338"/>
      <c r="B173" s="335" t="s">
        <v>68</v>
      </c>
      <c r="C173" s="335"/>
      <c r="D173" s="77">
        <f>SUM(D174:D174)</f>
        <v>14016</v>
      </c>
    </row>
    <row r="174" spans="1:4" s="102" customFormat="1" ht="25.5">
      <c r="A174" s="338"/>
      <c r="B174" s="101"/>
      <c r="C174" s="74" t="s">
        <v>155</v>
      </c>
      <c r="D174" s="90">
        <v>14016</v>
      </c>
    </row>
    <row r="175" spans="1:4" s="102" customFormat="1" ht="12.75">
      <c r="A175" s="338"/>
      <c r="B175" s="335" t="s">
        <v>70</v>
      </c>
      <c r="C175" s="335"/>
      <c r="D175" s="71">
        <v>0</v>
      </c>
    </row>
    <row r="176" spans="1:4" s="88" customFormat="1" ht="15.75">
      <c r="A176" s="84">
        <v>853</v>
      </c>
      <c r="B176" s="84"/>
      <c r="C176" s="65" t="s">
        <v>156</v>
      </c>
      <c r="D176" s="66">
        <f>SUM(D177)</f>
        <v>12764363</v>
      </c>
    </row>
    <row r="177" spans="1:4" ht="15">
      <c r="A177" s="338"/>
      <c r="B177" s="89">
        <v>85332</v>
      </c>
      <c r="C177" s="69" t="s">
        <v>157</v>
      </c>
      <c r="D177" s="70">
        <f>SUM(D178,D183)</f>
        <v>12764363</v>
      </c>
    </row>
    <row r="178" spans="1:4" ht="12.75">
      <c r="A178" s="338"/>
      <c r="B178" s="335" t="s">
        <v>68</v>
      </c>
      <c r="C178" s="335"/>
      <c r="D178" s="71">
        <f>SUM(D179:D182)</f>
        <v>12738863</v>
      </c>
    </row>
    <row r="179" spans="1:4" ht="12.75">
      <c r="A179" s="338"/>
      <c r="B179" s="337"/>
      <c r="C179" s="74" t="s">
        <v>158</v>
      </c>
      <c r="D179" s="75">
        <v>161000</v>
      </c>
    </row>
    <row r="180" spans="1:4" ht="25.5">
      <c r="A180" s="338"/>
      <c r="B180" s="337"/>
      <c r="C180" s="74" t="s">
        <v>159</v>
      </c>
      <c r="D180" s="75">
        <v>12220263</v>
      </c>
    </row>
    <row r="181" spans="1:4" ht="25.5">
      <c r="A181" s="338"/>
      <c r="B181" s="337"/>
      <c r="C181" s="74" t="s">
        <v>160</v>
      </c>
      <c r="D181" s="75">
        <v>309600</v>
      </c>
    </row>
    <row r="182" spans="1:4" ht="25.5">
      <c r="A182" s="338"/>
      <c r="B182" s="337"/>
      <c r="C182" s="74" t="s">
        <v>69</v>
      </c>
      <c r="D182" s="75">
        <v>48000</v>
      </c>
    </row>
    <row r="183" spans="1:4" ht="12.75">
      <c r="A183" s="338"/>
      <c r="B183" s="335" t="s">
        <v>77</v>
      </c>
      <c r="C183" s="335"/>
      <c r="D183" s="71">
        <f>SUM(D184:D184)</f>
        <v>25500</v>
      </c>
    </row>
    <row r="184" spans="1:4" ht="25.5">
      <c r="A184" s="338"/>
      <c r="B184" s="76"/>
      <c r="C184" s="74" t="s">
        <v>159</v>
      </c>
      <c r="D184" s="75">
        <v>25500</v>
      </c>
    </row>
    <row r="185" spans="1:4" s="88" customFormat="1" ht="15.75">
      <c r="A185" s="84">
        <v>900</v>
      </c>
      <c r="B185" s="84"/>
      <c r="C185" s="65" t="s">
        <v>161</v>
      </c>
      <c r="D185" s="66">
        <f>SUM(D186,D190)</f>
        <v>56000</v>
      </c>
    </row>
    <row r="186" spans="1:4" ht="30">
      <c r="A186" s="334"/>
      <c r="B186" s="89">
        <v>90019</v>
      </c>
      <c r="C186" s="69" t="s">
        <v>162</v>
      </c>
      <c r="D186" s="70">
        <f>SUM(D187,D189)</f>
        <v>50000</v>
      </c>
    </row>
    <row r="187" spans="1:4" ht="12.75">
      <c r="A187" s="334"/>
      <c r="B187" s="335" t="s">
        <v>68</v>
      </c>
      <c r="C187" s="335"/>
      <c r="D187" s="77">
        <f>SUM(D188)</f>
        <v>50000</v>
      </c>
    </row>
    <row r="188" spans="1:4" ht="25.5">
      <c r="A188" s="334"/>
      <c r="B188" s="89"/>
      <c r="C188" s="74" t="s">
        <v>163</v>
      </c>
      <c r="D188" s="90">
        <v>50000</v>
      </c>
    </row>
    <row r="189" spans="1:4" ht="12.75">
      <c r="A189" s="334"/>
      <c r="B189" s="335" t="s">
        <v>70</v>
      </c>
      <c r="C189" s="335"/>
      <c r="D189" s="71">
        <v>0</v>
      </c>
    </row>
    <row r="190" spans="1:4" ht="30">
      <c r="A190" s="334"/>
      <c r="B190" s="89">
        <v>90020</v>
      </c>
      <c r="C190" s="69" t="s">
        <v>164</v>
      </c>
      <c r="D190" s="70">
        <f>SUM(D191,D193)</f>
        <v>6000</v>
      </c>
    </row>
    <row r="191" spans="1:4" ht="12.75">
      <c r="A191" s="334"/>
      <c r="B191" s="335" t="s">
        <v>68</v>
      </c>
      <c r="C191" s="335"/>
      <c r="D191" s="77">
        <f>SUM(D192)</f>
        <v>6000</v>
      </c>
    </row>
    <row r="192" spans="1:4" ht="15">
      <c r="A192" s="334"/>
      <c r="B192" s="89"/>
      <c r="C192" s="74" t="s">
        <v>165</v>
      </c>
      <c r="D192" s="90">
        <v>6000</v>
      </c>
    </row>
    <row r="193" spans="1:4" ht="12.75">
      <c r="A193" s="334"/>
      <c r="B193" s="335" t="s">
        <v>70</v>
      </c>
      <c r="C193" s="335"/>
      <c r="D193" s="71">
        <v>0</v>
      </c>
    </row>
    <row r="194" spans="1:4" s="105" customFormat="1" ht="15.75">
      <c r="A194" s="95">
        <v>921</v>
      </c>
      <c r="B194" s="95"/>
      <c r="C194" s="103" t="s">
        <v>166</v>
      </c>
      <c r="D194" s="104">
        <f>SUM(D195)</f>
        <v>2776235</v>
      </c>
    </row>
    <row r="195" spans="1:4" ht="15">
      <c r="A195" s="334"/>
      <c r="B195" s="89">
        <v>92116</v>
      </c>
      <c r="C195" s="69" t="s">
        <v>167</v>
      </c>
      <c r="D195" s="70">
        <f>SUM(D196,D199)</f>
        <v>2776235</v>
      </c>
    </row>
    <row r="196" spans="1:4" ht="12.75">
      <c r="A196" s="334"/>
      <c r="B196" s="335" t="s">
        <v>68</v>
      </c>
      <c r="C196" s="335"/>
      <c r="D196" s="71">
        <f>SUM(D197:D198)</f>
        <v>2776235</v>
      </c>
    </row>
    <row r="197" spans="1:4" ht="25.5">
      <c r="A197" s="334"/>
      <c r="B197" s="337"/>
      <c r="C197" s="74" t="s">
        <v>168</v>
      </c>
      <c r="D197" s="75">
        <v>2716235</v>
      </c>
    </row>
    <row r="198" spans="1:4" ht="25.5">
      <c r="A198" s="334"/>
      <c r="B198" s="337"/>
      <c r="C198" s="74" t="s">
        <v>169</v>
      </c>
      <c r="D198" s="75">
        <v>60000</v>
      </c>
    </row>
    <row r="199" spans="1:4" ht="12.75">
      <c r="A199" s="334"/>
      <c r="B199" s="335" t="s">
        <v>77</v>
      </c>
      <c r="C199" s="335"/>
      <c r="D199" s="71">
        <v>0</v>
      </c>
    </row>
    <row r="200" spans="1:4" s="88" customFormat="1" ht="31.5">
      <c r="A200" s="84">
        <v>925</v>
      </c>
      <c r="B200" s="96"/>
      <c r="C200" s="106" t="s">
        <v>170</v>
      </c>
      <c r="D200" s="66">
        <f>D201</f>
        <v>742000</v>
      </c>
    </row>
    <row r="201" spans="1:4" s="107" customFormat="1" ht="15">
      <c r="A201" s="334"/>
      <c r="B201" s="98">
        <v>92502</v>
      </c>
      <c r="C201" s="100" t="s">
        <v>171</v>
      </c>
      <c r="D201" s="70">
        <f>SUM(D202,D204)</f>
        <v>742000</v>
      </c>
    </row>
    <row r="202" spans="1:4" ht="12.75">
      <c r="A202" s="334"/>
      <c r="B202" s="335" t="s">
        <v>68</v>
      </c>
      <c r="C202" s="335"/>
      <c r="D202" s="77">
        <f>SUM(D203)</f>
        <v>742000</v>
      </c>
    </row>
    <row r="203" spans="1:4" ht="25.5">
      <c r="A203" s="334"/>
      <c r="B203" s="76"/>
      <c r="C203" s="93" t="s">
        <v>172</v>
      </c>
      <c r="D203" s="71">
        <v>742000</v>
      </c>
    </row>
    <row r="204" spans="1:4" ht="12.75">
      <c r="A204" s="334"/>
      <c r="B204" s="335" t="s">
        <v>70</v>
      </c>
      <c r="C204" s="335"/>
      <c r="D204" s="71">
        <v>0</v>
      </c>
    </row>
    <row r="205" spans="1:4" ht="27" customHeight="1">
      <c r="A205" s="336" t="s">
        <v>173</v>
      </c>
      <c r="B205" s="336"/>
      <c r="C205" s="336"/>
      <c r="D205" s="79">
        <f>SUM(D5,D29,D35,D49,D56,D73,D106,D111,D122,D152,D158,D167,D176,D185,D194,D200)</f>
        <v>752407785.85</v>
      </c>
    </row>
  </sheetData>
  <sheetProtection/>
  <mergeCells count="113">
    <mergeCell ref="C1:D1"/>
    <mergeCell ref="A2:D2"/>
    <mergeCell ref="A6:A28"/>
    <mergeCell ref="B7:C7"/>
    <mergeCell ref="B9:C9"/>
    <mergeCell ref="B11:C11"/>
    <mergeCell ref="B13:C13"/>
    <mergeCell ref="B15:C15"/>
    <mergeCell ref="B16:B17"/>
    <mergeCell ref="B18:C18"/>
    <mergeCell ref="A36:A48"/>
    <mergeCell ref="B37:C37"/>
    <mergeCell ref="B39:C39"/>
    <mergeCell ref="B41:C41"/>
    <mergeCell ref="B43:C43"/>
    <mergeCell ref="B45:C45"/>
    <mergeCell ref="B47:C47"/>
    <mergeCell ref="B21:C21"/>
    <mergeCell ref="B23:C23"/>
    <mergeCell ref="B26:C26"/>
    <mergeCell ref="B27:C27"/>
    <mergeCell ref="A30:A34"/>
    <mergeCell ref="B31:C31"/>
    <mergeCell ref="B33:C33"/>
    <mergeCell ref="A50:A55"/>
    <mergeCell ref="B51:C51"/>
    <mergeCell ref="B52:B53"/>
    <mergeCell ref="B54:C54"/>
    <mergeCell ref="A57:A72"/>
    <mergeCell ref="B58:C58"/>
    <mergeCell ref="B60:C60"/>
    <mergeCell ref="B62:C62"/>
    <mergeCell ref="B64:C64"/>
    <mergeCell ref="B66:C66"/>
    <mergeCell ref="B68:C68"/>
    <mergeCell ref="B70:C70"/>
    <mergeCell ref="B72:C72"/>
    <mergeCell ref="A74:A105"/>
    <mergeCell ref="B75:C75"/>
    <mergeCell ref="B76:B77"/>
    <mergeCell ref="B78:C78"/>
    <mergeCell ref="B79:B80"/>
    <mergeCell ref="B82:C82"/>
    <mergeCell ref="B83:B84"/>
    <mergeCell ref="B96:C96"/>
    <mergeCell ref="B98:C98"/>
    <mergeCell ref="B99:B100"/>
    <mergeCell ref="B101:C101"/>
    <mergeCell ref="B103:C103"/>
    <mergeCell ref="B105:C105"/>
    <mergeCell ref="B85:C85"/>
    <mergeCell ref="B87:C87"/>
    <mergeCell ref="B88:B90"/>
    <mergeCell ref="B91:C91"/>
    <mergeCell ref="B93:C93"/>
    <mergeCell ref="B94:B95"/>
    <mergeCell ref="A107:A110"/>
    <mergeCell ref="B108:C108"/>
    <mergeCell ref="B110:C110"/>
    <mergeCell ref="A112:A121"/>
    <mergeCell ref="B113:C113"/>
    <mergeCell ref="B114:B115"/>
    <mergeCell ref="B116:C116"/>
    <mergeCell ref="B118:C118"/>
    <mergeCell ref="B119:B120"/>
    <mergeCell ref="B121:C121"/>
    <mergeCell ref="B142:C142"/>
    <mergeCell ref="B143:B144"/>
    <mergeCell ref="B146:C146"/>
    <mergeCell ref="B147:B148"/>
    <mergeCell ref="B149:C149"/>
    <mergeCell ref="B150:B151"/>
    <mergeCell ref="A123:A151"/>
    <mergeCell ref="B124:C124"/>
    <mergeCell ref="B126:C126"/>
    <mergeCell ref="B128:C128"/>
    <mergeCell ref="B130:C130"/>
    <mergeCell ref="B132:C132"/>
    <mergeCell ref="B134:C134"/>
    <mergeCell ref="B136:C136"/>
    <mergeCell ref="B138:C138"/>
    <mergeCell ref="B140:C140"/>
    <mergeCell ref="A153:A157"/>
    <mergeCell ref="B154:C154"/>
    <mergeCell ref="B155:B156"/>
    <mergeCell ref="B157:C157"/>
    <mergeCell ref="A159:A166"/>
    <mergeCell ref="B160:C160"/>
    <mergeCell ref="B161:C161"/>
    <mergeCell ref="B164:C164"/>
    <mergeCell ref="B166:C166"/>
    <mergeCell ref="A168:A175"/>
    <mergeCell ref="B169:C169"/>
    <mergeCell ref="B171:C171"/>
    <mergeCell ref="B173:C173"/>
    <mergeCell ref="B175:C175"/>
    <mergeCell ref="A177:A184"/>
    <mergeCell ref="B178:C178"/>
    <mergeCell ref="B179:B182"/>
    <mergeCell ref="B183:C183"/>
    <mergeCell ref="A201:A204"/>
    <mergeCell ref="B202:C202"/>
    <mergeCell ref="B204:C204"/>
    <mergeCell ref="A205:C205"/>
    <mergeCell ref="A186:A193"/>
    <mergeCell ref="B187:C187"/>
    <mergeCell ref="B189:C189"/>
    <mergeCell ref="B191:C191"/>
    <mergeCell ref="B193:C193"/>
    <mergeCell ref="A195:A199"/>
    <mergeCell ref="B196:C196"/>
    <mergeCell ref="B197:B198"/>
    <mergeCell ref="B199:C199"/>
  </mergeCells>
  <printOptions horizontalCentered="1"/>
  <pageMargins left="0.6299212598425197" right="0.2362204724409449" top="0.5905511811023623" bottom="0.5118110236220472" header="0.11811023622047245" footer="0.1968503937007874"/>
  <pageSetup horizontalDpi="600" verticalDpi="600" orientation="portrait" paperSize="9" scale="80" r:id="rId1"/>
  <rowBreaks count="3" manualBreakCount="3">
    <brk id="43" max="3" man="1"/>
    <brk id="151" max="3" man="1"/>
    <brk id="19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7.7109375" style="227" customWidth="1"/>
    <col min="2" max="3" width="8.8515625" style="227" customWidth="1"/>
    <col min="4" max="4" width="56.57421875" style="227" customWidth="1"/>
    <col min="5" max="5" width="14.57421875" style="227" customWidth="1"/>
    <col min="6" max="7" width="9.140625" style="227" customWidth="1"/>
    <col min="8" max="8" width="11.28125" style="254" customWidth="1"/>
    <col min="9" max="16384" width="9.140625" style="227" customWidth="1"/>
  </cols>
  <sheetData>
    <row r="1" spans="1:5" ht="65.25" customHeight="1">
      <c r="A1" s="172"/>
      <c r="B1" s="172"/>
      <c r="C1" s="172"/>
      <c r="D1" s="396" t="s">
        <v>516</v>
      </c>
      <c r="E1" s="441"/>
    </row>
    <row r="2" spans="1:7" ht="69" customHeight="1">
      <c r="A2" s="402" t="s">
        <v>431</v>
      </c>
      <c r="B2" s="402"/>
      <c r="C2" s="402"/>
      <c r="D2" s="402"/>
      <c r="E2" s="402"/>
      <c r="F2" s="255"/>
      <c r="G2" s="255"/>
    </row>
    <row r="3" spans="1:8" s="229" customFormat="1" ht="12.75">
      <c r="A3" s="228"/>
      <c r="B3" s="228"/>
      <c r="C3" s="228"/>
      <c r="D3" s="228"/>
      <c r="E3" s="256" t="s">
        <v>59</v>
      </c>
      <c r="H3" s="257"/>
    </row>
    <row r="4" spans="1:5" ht="32.25" customHeight="1">
      <c r="A4" s="413" t="s">
        <v>432</v>
      </c>
      <c r="B4" s="413"/>
      <c r="C4" s="413"/>
      <c r="D4" s="413"/>
      <c r="E4" s="413"/>
    </row>
    <row r="5" spans="1:5" ht="18.75" customHeight="1">
      <c r="A5" s="138" t="s">
        <v>60</v>
      </c>
      <c r="B5" s="138" t="s">
        <v>176</v>
      </c>
      <c r="C5" s="138" t="s">
        <v>420</v>
      </c>
      <c r="D5" s="138" t="s">
        <v>392</v>
      </c>
      <c r="E5" s="258" t="s">
        <v>421</v>
      </c>
    </row>
    <row r="6" spans="1:7" ht="23.25" customHeight="1">
      <c r="A6" s="421" t="s">
        <v>64</v>
      </c>
      <c r="B6" s="421"/>
      <c r="C6" s="421"/>
      <c r="D6" s="138" t="s">
        <v>65</v>
      </c>
      <c r="E6" s="216">
        <f>SUM(E7,E9,E15,E20)</f>
        <v>24827000</v>
      </c>
      <c r="G6" s="254"/>
    </row>
    <row r="7" spans="1:5" ht="12.75">
      <c r="A7" s="421"/>
      <c r="B7" s="436" t="s">
        <v>66</v>
      </c>
      <c r="C7" s="442" t="s">
        <v>433</v>
      </c>
      <c r="D7" s="442"/>
      <c r="E7" s="221">
        <f>SUM(E8:E8)</f>
        <v>20000</v>
      </c>
    </row>
    <row r="8" spans="1:5" ht="12.75">
      <c r="A8" s="421"/>
      <c r="B8" s="436"/>
      <c r="C8" s="251" t="s">
        <v>434</v>
      </c>
      <c r="D8" s="259"/>
      <c r="E8" s="161">
        <v>20000</v>
      </c>
    </row>
    <row r="9" spans="1:7" ht="12.75">
      <c r="A9" s="421"/>
      <c r="B9" s="436" t="s">
        <v>74</v>
      </c>
      <c r="C9" s="439" t="s">
        <v>75</v>
      </c>
      <c r="D9" s="439"/>
      <c r="E9" s="221">
        <f>SUM(E10:E14)</f>
        <v>18557000</v>
      </c>
      <c r="G9" s="254"/>
    </row>
    <row r="10" spans="1:7" ht="12.75">
      <c r="A10" s="421"/>
      <c r="B10" s="436"/>
      <c r="C10" s="260">
        <v>2210</v>
      </c>
      <c r="D10" s="261"/>
      <c r="E10" s="161">
        <v>5102000</v>
      </c>
      <c r="G10" s="254"/>
    </row>
    <row r="11" spans="1:5" ht="12.75">
      <c r="A11" s="421"/>
      <c r="B11" s="436"/>
      <c r="C11" s="260">
        <v>6510</v>
      </c>
      <c r="D11" s="261"/>
      <c r="E11" s="161">
        <v>2700000</v>
      </c>
    </row>
    <row r="12" spans="1:5" ht="30" customHeight="1" hidden="1">
      <c r="A12" s="421"/>
      <c r="B12" s="436"/>
      <c r="C12" s="439" t="s">
        <v>435</v>
      </c>
      <c r="D12" s="439"/>
      <c r="E12" s="161"/>
    </row>
    <row r="13" spans="1:5" ht="30" customHeight="1" hidden="1">
      <c r="A13" s="421"/>
      <c r="B13" s="436"/>
      <c r="C13" s="260">
        <v>221</v>
      </c>
      <c r="D13" s="262"/>
      <c r="E13" s="161"/>
    </row>
    <row r="14" spans="1:5" ht="12.75">
      <c r="A14" s="421"/>
      <c r="B14" s="436"/>
      <c r="C14" s="260">
        <v>6519</v>
      </c>
      <c r="D14" s="261"/>
      <c r="E14" s="161">
        <v>10755000</v>
      </c>
    </row>
    <row r="15" spans="1:5" ht="12.75">
      <c r="A15" s="421"/>
      <c r="B15" s="436" t="s">
        <v>79</v>
      </c>
      <c r="C15" s="423" t="s">
        <v>436</v>
      </c>
      <c r="D15" s="423"/>
      <c r="E15" s="221">
        <f>SUM(E16:E19)</f>
        <v>4276000</v>
      </c>
    </row>
    <row r="16" spans="1:5" ht="12.75">
      <c r="A16" s="421"/>
      <c r="B16" s="436"/>
      <c r="C16" s="260">
        <v>2218</v>
      </c>
      <c r="D16" s="263"/>
      <c r="E16" s="161">
        <v>3201000</v>
      </c>
    </row>
    <row r="17" spans="1:7" ht="12.75">
      <c r="A17" s="421"/>
      <c r="B17" s="436"/>
      <c r="C17" s="260">
        <v>2219</v>
      </c>
      <c r="D17" s="263"/>
      <c r="E17" s="161">
        <v>1067000</v>
      </c>
      <c r="G17" s="254"/>
    </row>
    <row r="18" spans="1:5" ht="12.75">
      <c r="A18" s="421"/>
      <c r="B18" s="436"/>
      <c r="C18" s="260">
        <v>6518</v>
      </c>
      <c r="D18" s="263"/>
      <c r="E18" s="161">
        <v>6000</v>
      </c>
    </row>
    <row r="19" spans="1:6" ht="12.75">
      <c r="A19" s="421"/>
      <c r="B19" s="436"/>
      <c r="C19" s="260">
        <v>6519</v>
      </c>
      <c r="D19" s="263"/>
      <c r="E19" s="161">
        <v>2000</v>
      </c>
      <c r="F19" s="254"/>
    </row>
    <row r="20" spans="1:5" ht="12.75">
      <c r="A20" s="421"/>
      <c r="B20" s="436" t="s">
        <v>81</v>
      </c>
      <c r="C20" s="439" t="s">
        <v>82</v>
      </c>
      <c r="D20" s="439"/>
      <c r="E20" s="221">
        <f>SUM(E21)</f>
        <v>1974000</v>
      </c>
    </row>
    <row r="21" spans="1:5" ht="12.75">
      <c r="A21" s="421"/>
      <c r="B21" s="436"/>
      <c r="C21" s="260">
        <v>6519</v>
      </c>
      <c r="D21" s="263"/>
      <c r="E21" s="161">
        <v>1974000</v>
      </c>
    </row>
    <row r="22" spans="1:5" ht="22.5" customHeight="1">
      <c r="A22" s="421" t="s">
        <v>85</v>
      </c>
      <c r="B22" s="436"/>
      <c r="C22" s="436"/>
      <c r="D22" s="264" t="s">
        <v>86</v>
      </c>
      <c r="E22" s="216">
        <f>SUM(E23)</f>
        <v>401000</v>
      </c>
    </row>
    <row r="23" spans="1:5" ht="26.25" customHeight="1">
      <c r="A23" s="421"/>
      <c r="B23" s="436" t="s">
        <v>87</v>
      </c>
      <c r="C23" s="440" t="s">
        <v>437</v>
      </c>
      <c r="D23" s="440"/>
      <c r="E23" s="221">
        <f>SUM(E24:E27)</f>
        <v>401000</v>
      </c>
    </row>
    <row r="24" spans="1:5" ht="12.75">
      <c r="A24" s="421"/>
      <c r="B24" s="436"/>
      <c r="C24" s="236" t="s">
        <v>438</v>
      </c>
      <c r="D24" s="263"/>
      <c r="E24" s="161">
        <v>289000</v>
      </c>
    </row>
    <row r="25" spans="1:5" ht="12.75">
      <c r="A25" s="421"/>
      <c r="B25" s="436"/>
      <c r="C25" s="236" t="s">
        <v>439</v>
      </c>
      <c r="D25" s="263"/>
      <c r="E25" s="161">
        <v>96000</v>
      </c>
    </row>
    <row r="26" spans="1:5" ht="12.75">
      <c r="A26" s="421"/>
      <c r="B26" s="436"/>
      <c r="C26" s="236" t="s">
        <v>440</v>
      </c>
      <c r="D26" s="263"/>
      <c r="E26" s="161">
        <v>12000</v>
      </c>
    </row>
    <row r="27" spans="1:5" ht="12.75">
      <c r="A27" s="421"/>
      <c r="B27" s="436"/>
      <c r="C27" s="260">
        <v>6519</v>
      </c>
      <c r="D27" s="263"/>
      <c r="E27" s="161">
        <v>4000</v>
      </c>
    </row>
    <row r="28" spans="1:7" ht="23.25" customHeight="1">
      <c r="A28" s="421" t="s">
        <v>199</v>
      </c>
      <c r="B28" s="436"/>
      <c r="C28" s="436"/>
      <c r="D28" s="264" t="s">
        <v>89</v>
      </c>
      <c r="E28" s="216">
        <f>E29</f>
        <v>50402000</v>
      </c>
      <c r="G28" s="254"/>
    </row>
    <row r="29" spans="1:5" ht="12.75">
      <c r="A29" s="421"/>
      <c r="B29" s="436" t="s">
        <v>201</v>
      </c>
      <c r="C29" s="439" t="s">
        <v>90</v>
      </c>
      <c r="D29" s="439"/>
      <c r="E29" s="221">
        <f>SUM(E30)</f>
        <v>50402000</v>
      </c>
    </row>
    <row r="30" spans="1:5" ht="12.75">
      <c r="A30" s="421"/>
      <c r="B30" s="436"/>
      <c r="C30" s="260">
        <v>2210</v>
      </c>
      <c r="D30" s="263"/>
      <c r="E30" s="161">
        <v>50402000</v>
      </c>
    </row>
    <row r="31" spans="1:5" ht="24" customHeight="1">
      <c r="A31" s="421" t="s">
        <v>211</v>
      </c>
      <c r="B31" s="421"/>
      <c r="C31" s="421"/>
      <c r="D31" s="138" t="s">
        <v>101</v>
      </c>
      <c r="E31" s="216">
        <f>SUM(E32,E34,E36)</f>
        <v>480000</v>
      </c>
    </row>
    <row r="32" spans="1:5" ht="12.75">
      <c r="A32" s="421"/>
      <c r="B32" s="436" t="s">
        <v>213</v>
      </c>
      <c r="C32" s="439" t="s">
        <v>104</v>
      </c>
      <c r="D32" s="439"/>
      <c r="E32" s="221">
        <f>SUM(E33)</f>
        <v>270000</v>
      </c>
    </row>
    <row r="33" spans="1:5" ht="12.75">
      <c r="A33" s="421"/>
      <c r="B33" s="436"/>
      <c r="C33" s="260">
        <v>2210</v>
      </c>
      <c r="D33" s="263"/>
      <c r="E33" s="161">
        <v>270000</v>
      </c>
    </row>
    <row r="34" spans="1:5" ht="12.75">
      <c r="A34" s="421"/>
      <c r="B34" s="436" t="s">
        <v>214</v>
      </c>
      <c r="C34" s="439" t="s">
        <v>105</v>
      </c>
      <c r="D34" s="439"/>
      <c r="E34" s="221">
        <f>SUM(E35)</f>
        <v>25000</v>
      </c>
    </row>
    <row r="35" spans="1:5" ht="12.75">
      <c r="A35" s="421"/>
      <c r="B35" s="436"/>
      <c r="C35" s="260">
        <v>2210</v>
      </c>
      <c r="D35" s="263"/>
      <c r="E35" s="161">
        <v>25000</v>
      </c>
    </row>
    <row r="36" spans="1:5" ht="12.75">
      <c r="A36" s="421"/>
      <c r="B36" s="436" t="s">
        <v>215</v>
      </c>
      <c r="C36" s="439" t="s">
        <v>106</v>
      </c>
      <c r="D36" s="439"/>
      <c r="E36" s="221">
        <f>SUM(E37)</f>
        <v>185000</v>
      </c>
    </row>
    <row r="37" spans="1:5" ht="12.75">
      <c r="A37" s="421"/>
      <c r="B37" s="436"/>
      <c r="C37" s="260">
        <v>2210</v>
      </c>
      <c r="D37" s="263"/>
      <c r="E37" s="161">
        <v>185000</v>
      </c>
    </row>
    <row r="38" spans="1:5" ht="24" customHeight="1">
      <c r="A38" s="421" t="s">
        <v>220</v>
      </c>
      <c r="B38" s="436"/>
      <c r="C38" s="436"/>
      <c r="D38" s="264" t="s">
        <v>107</v>
      </c>
      <c r="E38" s="216">
        <f>SUM(E39,E41)</f>
        <v>749000</v>
      </c>
    </row>
    <row r="39" spans="1:5" ht="12.75">
      <c r="A39" s="421"/>
      <c r="B39" s="436" t="s">
        <v>221</v>
      </c>
      <c r="C39" s="439" t="s">
        <v>111</v>
      </c>
      <c r="D39" s="439"/>
      <c r="E39" s="221">
        <f>SUM(E40)</f>
        <v>689000</v>
      </c>
    </row>
    <row r="40" spans="1:5" ht="12.75">
      <c r="A40" s="421"/>
      <c r="B40" s="436"/>
      <c r="C40" s="260">
        <v>2210</v>
      </c>
      <c r="D40" s="263"/>
      <c r="E40" s="161">
        <v>689000</v>
      </c>
    </row>
    <row r="41" spans="1:5" ht="12.75">
      <c r="A41" s="421"/>
      <c r="B41" s="265" t="s">
        <v>230</v>
      </c>
      <c r="C41" s="439" t="s">
        <v>116</v>
      </c>
      <c r="D41" s="439"/>
      <c r="E41" s="221">
        <f>SUM(E42)</f>
        <v>60000</v>
      </c>
    </row>
    <row r="42" spans="1:5" ht="12.75">
      <c r="A42" s="421"/>
      <c r="B42" s="265"/>
      <c r="C42" s="260">
        <v>2210</v>
      </c>
      <c r="D42" s="263"/>
      <c r="E42" s="161">
        <v>60000</v>
      </c>
    </row>
    <row r="43" spans="1:5" ht="24" customHeight="1">
      <c r="A43" s="421" t="s">
        <v>238</v>
      </c>
      <c r="B43" s="436"/>
      <c r="C43" s="436"/>
      <c r="D43" s="266" t="s">
        <v>122</v>
      </c>
      <c r="E43" s="216">
        <f>SUM(E44)</f>
        <v>2500</v>
      </c>
    </row>
    <row r="44" spans="1:5" ht="12.75">
      <c r="A44" s="421"/>
      <c r="B44" s="436" t="s">
        <v>239</v>
      </c>
      <c r="C44" s="438" t="s">
        <v>123</v>
      </c>
      <c r="D44" s="438"/>
      <c r="E44" s="221">
        <f>SUM(E45)</f>
        <v>2500</v>
      </c>
    </row>
    <row r="45" spans="1:5" ht="12.75">
      <c r="A45" s="421"/>
      <c r="B45" s="436"/>
      <c r="C45" s="260">
        <v>2210</v>
      </c>
      <c r="D45" s="263"/>
      <c r="E45" s="161">
        <v>2500</v>
      </c>
    </row>
    <row r="46" spans="1:5" ht="24" customHeight="1">
      <c r="A46" s="421" t="s">
        <v>252</v>
      </c>
      <c r="B46" s="421"/>
      <c r="C46" s="421"/>
      <c r="D46" s="138" t="s">
        <v>441</v>
      </c>
      <c r="E46" s="216">
        <f>SUM(E47,E49)</f>
        <v>515000</v>
      </c>
    </row>
    <row r="47" spans="1:5" ht="12.75">
      <c r="A47" s="421"/>
      <c r="B47" s="436" t="s">
        <v>442</v>
      </c>
      <c r="C47" s="423" t="s">
        <v>150</v>
      </c>
      <c r="D47" s="439"/>
      <c r="E47" s="221">
        <f>SUM(E48)</f>
        <v>500000</v>
      </c>
    </row>
    <row r="48" spans="1:5" ht="12.75">
      <c r="A48" s="421"/>
      <c r="B48" s="436"/>
      <c r="C48" s="260">
        <v>2210</v>
      </c>
      <c r="D48" s="263"/>
      <c r="E48" s="161">
        <v>500000</v>
      </c>
    </row>
    <row r="49" spans="1:5" ht="25.5" customHeight="1">
      <c r="A49" s="421"/>
      <c r="B49" s="436" t="s">
        <v>443</v>
      </c>
      <c r="C49" s="423" t="s">
        <v>444</v>
      </c>
      <c r="D49" s="439"/>
      <c r="E49" s="221">
        <f>SUM(E50)</f>
        <v>15000</v>
      </c>
    </row>
    <row r="50" spans="1:5" ht="12.75">
      <c r="A50" s="421"/>
      <c r="B50" s="436"/>
      <c r="C50" s="260">
        <v>2210</v>
      </c>
      <c r="D50" s="263"/>
      <c r="E50" s="161">
        <v>15000</v>
      </c>
    </row>
    <row r="51" spans="1:5" ht="24" customHeight="1">
      <c r="A51" s="421" t="s">
        <v>253</v>
      </c>
      <c r="B51" s="432"/>
      <c r="C51" s="433"/>
      <c r="D51" s="264" t="s">
        <v>152</v>
      </c>
      <c r="E51" s="216">
        <f>E52</f>
        <v>743000</v>
      </c>
    </row>
    <row r="52" spans="1:7" ht="26.25" customHeight="1">
      <c r="A52" s="421"/>
      <c r="B52" s="434" t="s">
        <v>445</v>
      </c>
      <c r="C52" s="423" t="s">
        <v>446</v>
      </c>
      <c r="D52" s="423"/>
      <c r="E52" s="221">
        <f>SUM(E53)</f>
        <v>743000</v>
      </c>
      <c r="G52" s="254"/>
    </row>
    <row r="53" spans="1:5" ht="12.75">
      <c r="A53" s="421"/>
      <c r="B53" s="435"/>
      <c r="C53" s="260">
        <v>2210</v>
      </c>
      <c r="D53" s="263"/>
      <c r="E53" s="161">
        <v>743000</v>
      </c>
    </row>
    <row r="54" spans="1:5" ht="27" customHeight="1">
      <c r="A54" s="421" t="s">
        <v>254</v>
      </c>
      <c r="B54" s="436"/>
      <c r="C54" s="436"/>
      <c r="D54" s="152" t="s">
        <v>156</v>
      </c>
      <c r="E54" s="216">
        <f>SUM(E55)</f>
        <v>48000</v>
      </c>
    </row>
    <row r="55" spans="1:5" ht="12.75">
      <c r="A55" s="421"/>
      <c r="B55" s="436" t="s">
        <v>447</v>
      </c>
      <c r="C55" s="437" t="s">
        <v>448</v>
      </c>
      <c r="D55" s="437"/>
      <c r="E55" s="221">
        <f>SUM(E56)</f>
        <v>48000</v>
      </c>
    </row>
    <row r="56" spans="1:5" ht="12.75">
      <c r="A56" s="421"/>
      <c r="B56" s="436"/>
      <c r="C56" s="260">
        <v>2210</v>
      </c>
      <c r="D56" s="263"/>
      <c r="E56" s="161">
        <v>48000</v>
      </c>
    </row>
    <row r="57" spans="1:7" ht="30" customHeight="1">
      <c r="A57" s="407" t="s">
        <v>173</v>
      </c>
      <c r="B57" s="407"/>
      <c r="C57" s="407"/>
      <c r="D57" s="407"/>
      <c r="E57" s="216">
        <f>SUM(E54,E51,E46,E43,E38,E31,E28,E22,E6)</f>
        <v>78167500</v>
      </c>
      <c r="G57" s="254"/>
    </row>
    <row r="58" spans="1:5" ht="12.75">
      <c r="A58" s="192"/>
      <c r="B58" s="192"/>
      <c r="C58" s="229"/>
      <c r="D58" s="229"/>
      <c r="E58" s="193"/>
    </row>
    <row r="59" spans="1:5" ht="12.75">
      <c r="A59" s="192"/>
      <c r="B59" s="192"/>
      <c r="C59" s="229"/>
      <c r="D59" s="229"/>
      <c r="E59" s="193"/>
    </row>
    <row r="60" spans="1:5" ht="12.75">
      <c r="A60" s="192"/>
      <c r="B60" s="192"/>
      <c r="C60" s="229"/>
      <c r="D60" s="229"/>
      <c r="E60" s="193"/>
    </row>
    <row r="61" spans="1:5" ht="12.75" customHeight="1">
      <c r="A61" s="192"/>
      <c r="B61" s="192"/>
      <c r="C61" s="229"/>
      <c r="D61" s="229"/>
      <c r="E61" s="193"/>
    </row>
    <row r="62" spans="1:5" ht="12.75">
      <c r="A62" s="192"/>
      <c r="B62" s="192"/>
      <c r="C62" s="229"/>
      <c r="D62" s="229"/>
      <c r="E62" s="193"/>
    </row>
    <row r="63" spans="1:5" ht="12.75">
      <c r="A63" s="192"/>
      <c r="B63" s="192"/>
      <c r="C63" s="229"/>
      <c r="D63" s="229"/>
      <c r="E63" s="193"/>
    </row>
    <row r="64" spans="1:5" ht="12.75">
      <c r="A64" s="192"/>
      <c r="B64" s="192"/>
      <c r="C64" s="229"/>
      <c r="D64" s="229"/>
      <c r="E64" s="193"/>
    </row>
    <row r="65" spans="1:5" ht="12.75">
      <c r="A65" s="192"/>
      <c r="B65" s="192"/>
      <c r="C65" s="229"/>
      <c r="D65" s="229"/>
      <c r="E65" s="193"/>
    </row>
    <row r="66" spans="1:5" ht="12.75">
      <c r="A66" s="192"/>
      <c r="B66" s="192"/>
      <c r="C66" s="229"/>
      <c r="D66" s="229"/>
      <c r="E66" s="193"/>
    </row>
    <row r="67" spans="1:5" ht="12.75">
      <c r="A67" s="192"/>
      <c r="B67" s="192"/>
      <c r="C67" s="229"/>
      <c r="D67" s="229"/>
      <c r="E67" s="193"/>
    </row>
    <row r="68" spans="1:5" ht="12.75">
      <c r="A68" s="192"/>
      <c r="B68" s="192"/>
      <c r="C68" s="229"/>
      <c r="D68" s="229"/>
      <c r="E68" s="193"/>
    </row>
    <row r="69" spans="1:5" ht="12.75">
      <c r="A69" s="229"/>
      <c r="B69" s="192"/>
      <c r="C69" s="229"/>
      <c r="D69" s="229"/>
      <c r="E69" s="193"/>
    </row>
    <row r="70" spans="1:5" ht="12.75">
      <c r="A70" s="229"/>
      <c r="B70" s="192"/>
      <c r="C70" s="229"/>
      <c r="D70" s="229"/>
      <c r="E70" s="193"/>
    </row>
    <row r="71" spans="1:5" ht="12.75">
      <c r="A71" s="229"/>
      <c r="B71" s="192"/>
      <c r="C71" s="229"/>
      <c r="D71" s="229"/>
      <c r="E71" s="193"/>
    </row>
    <row r="72" spans="1:5" ht="12.75">
      <c r="A72" s="229"/>
      <c r="B72" s="192"/>
      <c r="C72" s="229"/>
      <c r="D72" s="229"/>
      <c r="E72" s="193"/>
    </row>
    <row r="73" spans="1:5" ht="12.75">
      <c r="A73" s="229"/>
      <c r="B73" s="192"/>
      <c r="C73" s="229"/>
      <c r="D73" s="229"/>
      <c r="E73" s="193"/>
    </row>
    <row r="74" spans="1:5" ht="12.75">
      <c r="A74" s="229"/>
      <c r="B74" s="192"/>
      <c r="C74" s="229"/>
      <c r="D74" s="229"/>
      <c r="E74" s="193"/>
    </row>
    <row r="75" spans="1:5" ht="12.75">
      <c r="A75" s="229"/>
      <c r="B75" s="192"/>
      <c r="C75" s="229"/>
      <c r="D75" s="229"/>
      <c r="E75" s="193"/>
    </row>
    <row r="76" spans="1:5" ht="12.75">
      <c r="A76" s="229"/>
      <c r="B76" s="192"/>
      <c r="C76" s="229"/>
      <c r="D76" s="229"/>
      <c r="E76" s="193"/>
    </row>
    <row r="77" spans="1:5" ht="12.75">
      <c r="A77" s="229"/>
      <c r="B77" s="192"/>
      <c r="C77" s="229"/>
      <c r="D77" s="229"/>
      <c r="E77" s="193"/>
    </row>
    <row r="78" spans="1:5" ht="12.75">
      <c r="A78" s="229"/>
      <c r="B78" s="192"/>
      <c r="C78" s="229"/>
      <c r="D78" s="229"/>
      <c r="E78" s="193"/>
    </row>
    <row r="79" spans="1:5" ht="12.75">
      <c r="A79" s="229"/>
      <c r="B79" s="192"/>
      <c r="C79" s="229"/>
      <c r="D79" s="229"/>
      <c r="E79" s="193"/>
    </row>
    <row r="80" spans="1:5" ht="12.75">
      <c r="A80" s="229"/>
      <c r="B80" s="192"/>
      <c r="C80" s="229"/>
      <c r="D80" s="229"/>
      <c r="E80" s="193"/>
    </row>
    <row r="81" spans="1:5" ht="12.75">
      <c r="A81" s="229"/>
      <c r="B81" s="192"/>
      <c r="C81" s="229"/>
      <c r="D81" s="229"/>
      <c r="E81" s="193"/>
    </row>
    <row r="82" spans="1:5" ht="12.75">
      <c r="A82" s="229"/>
      <c r="B82" s="192"/>
      <c r="C82" s="229"/>
      <c r="D82" s="229"/>
      <c r="E82" s="193"/>
    </row>
    <row r="83" spans="2:5" ht="12.75">
      <c r="B83" s="192"/>
      <c r="C83" s="229"/>
      <c r="D83" s="229"/>
      <c r="E83" s="193"/>
    </row>
    <row r="84" spans="2:5" ht="12.75">
      <c r="B84" s="192"/>
      <c r="C84" s="229"/>
      <c r="D84" s="229"/>
      <c r="E84" s="193"/>
    </row>
    <row r="85" spans="2:5" ht="12.75">
      <c r="B85" s="252"/>
      <c r="E85" s="253"/>
    </row>
    <row r="86" spans="2:5" ht="12.75">
      <c r="B86" s="252"/>
      <c r="E86" s="253"/>
    </row>
    <row r="87" spans="2:5" ht="12.75">
      <c r="B87" s="252"/>
      <c r="E87" s="253"/>
    </row>
    <row r="88" spans="2:5" ht="12.75">
      <c r="B88" s="252"/>
      <c r="E88" s="253"/>
    </row>
    <row r="89" spans="2:5" ht="12.75">
      <c r="B89" s="252"/>
      <c r="E89" s="253"/>
    </row>
    <row r="90" spans="2:5" ht="12.75">
      <c r="B90" s="252"/>
      <c r="E90" s="253"/>
    </row>
    <row r="91" spans="2:5" ht="12.75">
      <c r="B91" s="252"/>
      <c r="E91" s="253"/>
    </row>
    <row r="92" spans="2:5" ht="12.75">
      <c r="B92" s="252"/>
      <c r="E92" s="253"/>
    </row>
    <row r="93" spans="2:5" ht="12.75">
      <c r="B93" s="252"/>
      <c r="E93" s="253"/>
    </row>
    <row r="94" spans="2:5" ht="12.75">
      <c r="B94" s="252"/>
      <c r="E94" s="253"/>
    </row>
    <row r="95" spans="2:5" ht="12.75">
      <c r="B95" s="252"/>
      <c r="E95" s="253"/>
    </row>
    <row r="96" spans="2:5" ht="12.75">
      <c r="B96" s="252"/>
      <c r="E96" s="253"/>
    </row>
    <row r="97" spans="2:5" ht="12.75">
      <c r="B97" s="252"/>
      <c r="E97" s="253"/>
    </row>
    <row r="98" spans="2:5" ht="12.75">
      <c r="B98" s="252"/>
      <c r="E98" s="253"/>
    </row>
    <row r="99" spans="2:5" ht="12.75">
      <c r="B99" s="252"/>
      <c r="E99" s="253"/>
    </row>
    <row r="100" spans="2:5" ht="12.75">
      <c r="B100" s="252"/>
      <c r="E100" s="253"/>
    </row>
    <row r="101" ht="12.75">
      <c r="E101" s="253"/>
    </row>
    <row r="102" ht="12.75">
      <c r="E102" s="253"/>
    </row>
  </sheetData>
  <sheetProtection/>
  <mergeCells count="54">
    <mergeCell ref="D1:E1"/>
    <mergeCell ref="A2:E2"/>
    <mergeCell ref="A4:E4"/>
    <mergeCell ref="A6:A21"/>
    <mergeCell ref="B6:C6"/>
    <mergeCell ref="B7:B8"/>
    <mergeCell ref="C7:D7"/>
    <mergeCell ref="B9:B14"/>
    <mergeCell ref="C9:D9"/>
    <mergeCell ref="C12:D12"/>
    <mergeCell ref="B15:B19"/>
    <mergeCell ref="C15:D15"/>
    <mergeCell ref="B20:B21"/>
    <mergeCell ref="C20:D20"/>
    <mergeCell ref="A22:A27"/>
    <mergeCell ref="B22:C22"/>
    <mergeCell ref="B23:B27"/>
    <mergeCell ref="C23:D23"/>
    <mergeCell ref="A28:A30"/>
    <mergeCell ref="B28:C28"/>
    <mergeCell ref="B29:B30"/>
    <mergeCell ref="C29:D29"/>
    <mergeCell ref="A31:A37"/>
    <mergeCell ref="B31:C31"/>
    <mergeCell ref="B32:B33"/>
    <mergeCell ref="C32:D32"/>
    <mergeCell ref="B34:B35"/>
    <mergeCell ref="C34:D34"/>
    <mergeCell ref="B36:B37"/>
    <mergeCell ref="C36:D36"/>
    <mergeCell ref="A38:A42"/>
    <mergeCell ref="B38:C38"/>
    <mergeCell ref="B39:B40"/>
    <mergeCell ref="C39:D39"/>
    <mergeCell ref="C41:D41"/>
    <mergeCell ref="A43:A45"/>
    <mergeCell ref="B43:C43"/>
    <mergeCell ref="B44:B45"/>
    <mergeCell ref="C44:D44"/>
    <mergeCell ref="A46:A50"/>
    <mergeCell ref="B46:C46"/>
    <mergeCell ref="B47:B48"/>
    <mergeCell ref="C47:D47"/>
    <mergeCell ref="B49:B50"/>
    <mergeCell ref="C49:D49"/>
    <mergeCell ref="A57:D57"/>
    <mergeCell ref="A51:A53"/>
    <mergeCell ref="B51:C51"/>
    <mergeCell ref="B52:B53"/>
    <mergeCell ref="C52:D52"/>
    <mergeCell ref="A54:A56"/>
    <mergeCell ref="B54:C54"/>
    <mergeCell ref="B55:B56"/>
    <mergeCell ref="C55:D5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I207" sqref="I207"/>
      <selection pane="bottomLeft" activeCell="I207" sqref="I207"/>
    </sheetView>
  </sheetViews>
  <sheetFormatPr defaultColWidth="9.140625" defaultRowHeight="15"/>
  <cols>
    <col min="1" max="1" width="5.57421875" style="267" bestFit="1" customWidth="1"/>
    <col min="2" max="2" width="8.8515625" style="268" bestFit="1" customWidth="1"/>
    <col min="3" max="3" width="34.28125" style="229" customWidth="1"/>
    <col min="4" max="5" width="10.140625" style="229" bestFit="1" customWidth="1"/>
    <col min="6" max="6" width="12.7109375" style="229" customWidth="1"/>
    <col min="7" max="7" width="11.28125" style="229" customWidth="1"/>
    <col min="8" max="8" width="12.140625" style="229" bestFit="1" customWidth="1"/>
    <col min="9" max="9" width="10.28125" style="229" customWidth="1"/>
    <col min="10" max="10" width="12.28125" style="229" customWidth="1"/>
    <col min="11" max="11" width="11.421875" style="229" bestFit="1" customWidth="1"/>
    <col min="12" max="16384" width="9.140625" style="229" customWidth="1"/>
  </cols>
  <sheetData>
    <row r="1" ht="15.75">
      <c r="K1" s="269" t="s">
        <v>449</v>
      </c>
    </row>
    <row r="2" spans="1:11" ht="47.25" customHeight="1">
      <c r="A2" s="447" t="s">
        <v>450</v>
      </c>
      <c r="B2" s="448"/>
      <c r="C2" s="448"/>
      <c r="D2" s="448"/>
      <c r="E2" s="448"/>
      <c r="F2" s="448"/>
      <c r="G2" s="448"/>
      <c r="H2" s="448"/>
      <c r="I2" s="448"/>
      <c r="J2" s="448"/>
      <c r="K2" s="449"/>
    </row>
    <row r="3" spans="1:11" ht="12.75">
      <c r="A3" s="382" t="s">
        <v>60</v>
      </c>
      <c r="B3" s="382" t="s">
        <v>176</v>
      </c>
      <c r="C3" s="382" t="s">
        <v>392</v>
      </c>
      <c r="D3" s="413" t="s">
        <v>424</v>
      </c>
      <c r="E3" s="413" t="s">
        <v>425</v>
      </c>
      <c r="F3" s="450" t="s">
        <v>178</v>
      </c>
      <c r="G3" s="451"/>
      <c r="H3" s="451"/>
      <c r="I3" s="451"/>
      <c r="J3" s="452"/>
      <c r="K3" s="413" t="s">
        <v>426</v>
      </c>
    </row>
    <row r="4" spans="1:11" ht="12.75" customHeight="1">
      <c r="A4" s="382"/>
      <c r="B4" s="382"/>
      <c r="C4" s="382"/>
      <c r="D4" s="413"/>
      <c r="E4" s="413"/>
      <c r="F4" s="422" t="s">
        <v>451</v>
      </c>
      <c r="G4" s="424" t="s">
        <v>180</v>
      </c>
      <c r="H4" s="424"/>
      <c r="I4" s="422" t="s">
        <v>452</v>
      </c>
      <c r="J4" s="453" t="s">
        <v>453</v>
      </c>
      <c r="K4" s="413"/>
    </row>
    <row r="5" spans="1:11" ht="76.5">
      <c r="A5" s="382"/>
      <c r="B5" s="382"/>
      <c r="C5" s="382"/>
      <c r="D5" s="413"/>
      <c r="E5" s="413"/>
      <c r="F5" s="422"/>
      <c r="G5" s="270" t="s">
        <v>454</v>
      </c>
      <c r="H5" s="270" t="s">
        <v>455</v>
      </c>
      <c r="I5" s="422"/>
      <c r="J5" s="454"/>
      <c r="K5" s="413"/>
    </row>
    <row r="6" spans="1:11" ht="30" customHeight="1">
      <c r="A6" s="421" t="s">
        <v>64</v>
      </c>
      <c r="B6" s="445" t="s">
        <v>65</v>
      </c>
      <c r="C6" s="445"/>
      <c r="D6" s="271">
        <f aca="true" t="shared" si="0" ref="D6:K6">SUM(D7:D10)</f>
        <v>24827000</v>
      </c>
      <c r="E6" s="271">
        <f t="shared" si="0"/>
        <v>9390000</v>
      </c>
      <c r="F6" s="271">
        <f t="shared" si="0"/>
        <v>9390000</v>
      </c>
      <c r="G6" s="271">
        <f t="shared" si="0"/>
        <v>2730000</v>
      </c>
      <c r="H6" s="271">
        <f t="shared" si="0"/>
        <v>6660000</v>
      </c>
      <c r="I6" s="271">
        <f t="shared" si="0"/>
        <v>0</v>
      </c>
      <c r="J6" s="271">
        <f t="shared" si="0"/>
        <v>0</v>
      </c>
      <c r="K6" s="271">
        <f t="shared" si="0"/>
        <v>15437000</v>
      </c>
    </row>
    <row r="7" spans="1:11" ht="31.5" customHeight="1">
      <c r="A7" s="421"/>
      <c r="B7" s="272" t="s">
        <v>66</v>
      </c>
      <c r="C7" s="273" t="s">
        <v>433</v>
      </c>
      <c r="D7" s="160">
        <f>SUM(E7,K7)</f>
        <v>20000</v>
      </c>
      <c r="E7" s="160">
        <f>SUM(F7,I7,J7)</f>
        <v>20000</v>
      </c>
      <c r="F7" s="274">
        <f>SUM(G7:H7)</f>
        <v>20000</v>
      </c>
      <c r="G7" s="274">
        <v>0</v>
      </c>
      <c r="H7" s="274">
        <v>20000</v>
      </c>
      <c r="I7" s="274">
        <v>0</v>
      </c>
      <c r="J7" s="274">
        <v>0</v>
      </c>
      <c r="K7" s="160">
        <v>0</v>
      </c>
    </row>
    <row r="8" spans="1:11" ht="30" customHeight="1">
      <c r="A8" s="421"/>
      <c r="B8" s="272" t="s">
        <v>74</v>
      </c>
      <c r="C8" s="275" t="s">
        <v>75</v>
      </c>
      <c r="D8" s="160">
        <f>SUM(E8,K8)</f>
        <v>18557000</v>
      </c>
      <c r="E8" s="160">
        <f>SUM(F8,I8,J8)</f>
        <v>5102000</v>
      </c>
      <c r="F8" s="274">
        <f aca="true" t="shared" si="1" ref="F8:F14">SUM(G8:H8)</f>
        <v>5102000</v>
      </c>
      <c r="G8" s="274">
        <v>0</v>
      </c>
      <c r="H8" s="274">
        <v>5102000</v>
      </c>
      <c r="I8" s="274">
        <v>0</v>
      </c>
      <c r="J8" s="274">
        <v>0</v>
      </c>
      <c r="K8" s="160">
        <v>13455000</v>
      </c>
    </row>
    <row r="9" spans="1:11" ht="30" customHeight="1">
      <c r="A9" s="421"/>
      <c r="B9" s="272" t="s">
        <v>79</v>
      </c>
      <c r="C9" s="275" t="s">
        <v>456</v>
      </c>
      <c r="D9" s="160">
        <f>SUM(E9,K9)</f>
        <v>4276000</v>
      </c>
      <c r="E9" s="160">
        <f>SUM(F9,I9,J9)</f>
        <v>4268000</v>
      </c>
      <c r="F9" s="274">
        <f t="shared" si="1"/>
        <v>4268000</v>
      </c>
      <c r="G9" s="274">
        <v>2730000</v>
      </c>
      <c r="H9" s="274">
        <v>1538000</v>
      </c>
      <c r="I9" s="274">
        <v>0</v>
      </c>
      <c r="J9" s="274">
        <v>0</v>
      </c>
      <c r="K9" s="160">
        <v>8000</v>
      </c>
    </row>
    <row r="10" spans="1:11" ht="25.5" customHeight="1">
      <c r="A10" s="421"/>
      <c r="B10" s="272" t="s">
        <v>81</v>
      </c>
      <c r="C10" s="275" t="s">
        <v>82</v>
      </c>
      <c r="D10" s="160">
        <f>SUM(E10,K10)</f>
        <v>1974000</v>
      </c>
      <c r="E10" s="160">
        <f>SUM(F10,I10,J10)</f>
        <v>0</v>
      </c>
      <c r="F10" s="274">
        <f t="shared" si="1"/>
        <v>0</v>
      </c>
      <c r="G10" s="274">
        <v>0</v>
      </c>
      <c r="H10" s="274">
        <v>0</v>
      </c>
      <c r="I10" s="274">
        <v>0</v>
      </c>
      <c r="J10" s="274">
        <v>0</v>
      </c>
      <c r="K10" s="160">
        <v>1974000</v>
      </c>
    </row>
    <row r="11" spans="1:11" ht="28.5" customHeight="1">
      <c r="A11" s="421" t="s">
        <v>85</v>
      </c>
      <c r="B11" s="444" t="s">
        <v>86</v>
      </c>
      <c r="C11" s="444"/>
      <c r="D11" s="271">
        <f>SUM(D12)</f>
        <v>401000</v>
      </c>
      <c r="E11" s="271">
        <f>SUM(E12)</f>
        <v>385000</v>
      </c>
      <c r="F11" s="271">
        <f t="shared" si="1"/>
        <v>385000</v>
      </c>
      <c r="G11" s="271">
        <f>SUM(G12)</f>
        <v>354000</v>
      </c>
      <c r="H11" s="271">
        <f>SUM(H12)</f>
        <v>31000</v>
      </c>
      <c r="I11" s="271">
        <f>SUM(I12)</f>
        <v>0</v>
      </c>
      <c r="J11" s="271">
        <f>SUM(J12)</f>
        <v>0</v>
      </c>
      <c r="K11" s="271">
        <f>SUM(K12)</f>
        <v>16000</v>
      </c>
    </row>
    <row r="12" spans="1:11" ht="51" customHeight="1">
      <c r="A12" s="421"/>
      <c r="B12" s="272" t="s">
        <v>87</v>
      </c>
      <c r="C12" s="275" t="s">
        <v>457</v>
      </c>
      <c r="D12" s="160">
        <f>SUM(E12,K12)</f>
        <v>401000</v>
      </c>
      <c r="E12" s="160">
        <f>SUM(F12,I12,J12)</f>
        <v>385000</v>
      </c>
      <c r="F12" s="274">
        <f>SUM(G12:H12)</f>
        <v>385000</v>
      </c>
      <c r="G12" s="274">
        <v>354000</v>
      </c>
      <c r="H12" s="274">
        <v>31000</v>
      </c>
      <c r="I12" s="274">
        <v>0</v>
      </c>
      <c r="J12" s="274">
        <v>0</v>
      </c>
      <c r="K12" s="160">
        <v>16000</v>
      </c>
    </row>
    <row r="13" spans="1:11" ht="30.75" customHeight="1">
      <c r="A13" s="421" t="s">
        <v>199</v>
      </c>
      <c r="B13" s="444" t="s">
        <v>89</v>
      </c>
      <c r="C13" s="444"/>
      <c r="D13" s="271">
        <f aca="true" t="shared" si="2" ref="D13:K13">SUM(D14)</f>
        <v>50402000</v>
      </c>
      <c r="E13" s="271">
        <f>SUM(E14)</f>
        <v>50402000</v>
      </c>
      <c r="F13" s="271">
        <f t="shared" si="2"/>
        <v>0</v>
      </c>
      <c r="G13" s="271">
        <f t="shared" si="2"/>
        <v>0</v>
      </c>
      <c r="H13" s="271">
        <f t="shared" si="2"/>
        <v>0</v>
      </c>
      <c r="I13" s="271">
        <f t="shared" si="2"/>
        <v>50402000</v>
      </c>
      <c r="J13" s="271">
        <f t="shared" si="2"/>
        <v>0</v>
      </c>
      <c r="K13" s="271">
        <f t="shared" si="2"/>
        <v>0</v>
      </c>
    </row>
    <row r="14" spans="1:11" ht="33" customHeight="1">
      <c r="A14" s="421"/>
      <c r="B14" s="272" t="s">
        <v>201</v>
      </c>
      <c r="C14" s="275" t="s">
        <v>90</v>
      </c>
      <c r="D14" s="160">
        <f>SUM(E14,K14)</f>
        <v>50402000</v>
      </c>
      <c r="E14" s="160">
        <f>SUM(F14,I14,J14)</f>
        <v>50402000</v>
      </c>
      <c r="F14" s="274">
        <f t="shared" si="1"/>
        <v>0</v>
      </c>
      <c r="G14" s="274">
        <v>0</v>
      </c>
      <c r="H14" s="274">
        <v>0</v>
      </c>
      <c r="I14" s="274">
        <v>50402000</v>
      </c>
      <c r="J14" s="274">
        <v>0</v>
      </c>
      <c r="K14" s="160">
        <v>0</v>
      </c>
    </row>
    <row r="15" spans="1:11" ht="29.25" customHeight="1">
      <c r="A15" s="421" t="s">
        <v>211</v>
      </c>
      <c r="B15" s="445" t="s">
        <v>101</v>
      </c>
      <c r="C15" s="445"/>
      <c r="D15" s="271">
        <f aca="true" t="shared" si="3" ref="D15:K15">SUM(D16:D18)</f>
        <v>480000</v>
      </c>
      <c r="E15" s="271">
        <f t="shared" si="3"/>
        <v>480000</v>
      </c>
      <c r="F15" s="271">
        <f t="shared" si="3"/>
        <v>480000</v>
      </c>
      <c r="G15" s="271">
        <f t="shared" si="3"/>
        <v>270000</v>
      </c>
      <c r="H15" s="271">
        <f t="shared" si="3"/>
        <v>210000</v>
      </c>
      <c r="I15" s="271">
        <f t="shared" si="3"/>
        <v>0</v>
      </c>
      <c r="J15" s="271">
        <f t="shared" si="3"/>
        <v>0</v>
      </c>
      <c r="K15" s="271">
        <f t="shared" si="3"/>
        <v>0</v>
      </c>
    </row>
    <row r="16" spans="1:11" ht="33.75" customHeight="1">
      <c r="A16" s="421"/>
      <c r="B16" s="272" t="s">
        <v>213</v>
      </c>
      <c r="C16" s="275" t="s">
        <v>458</v>
      </c>
      <c r="D16" s="160">
        <f>E16+K16</f>
        <v>270000</v>
      </c>
      <c r="E16" s="160">
        <f>SUM(F16,I16,J16)</f>
        <v>270000</v>
      </c>
      <c r="F16" s="274">
        <f>SUM(G16:H16)</f>
        <v>270000</v>
      </c>
      <c r="G16" s="274">
        <v>270000</v>
      </c>
      <c r="H16" s="274">
        <v>0</v>
      </c>
      <c r="I16" s="274">
        <v>0</v>
      </c>
      <c r="J16" s="274">
        <v>0</v>
      </c>
      <c r="K16" s="160">
        <v>0</v>
      </c>
    </row>
    <row r="17" spans="1:11" ht="34.5" customHeight="1">
      <c r="A17" s="421"/>
      <c r="B17" s="272" t="s">
        <v>214</v>
      </c>
      <c r="C17" s="275" t="s">
        <v>105</v>
      </c>
      <c r="D17" s="160">
        <f>SUM(E17,K17)</f>
        <v>25000</v>
      </c>
      <c r="E17" s="160">
        <f>SUM(F17,I17,J17)</f>
        <v>25000</v>
      </c>
      <c r="F17" s="274">
        <f>SUM(G17:H17)</f>
        <v>25000</v>
      </c>
      <c r="G17" s="274">
        <v>0</v>
      </c>
      <c r="H17" s="274">
        <v>25000</v>
      </c>
      <c r="I17" s="274">
        <v>0</v>
      </c>
      <c r="J17" s="274">
        <v>0</v>
      </c>
      <c r="K17" s="160">
        <v>0</v>
      </c>
    </row>
    <row r="18" spans="1:11" ht="34.5" customHeight="1">
      <c r="A18" s="421"/>
      <c r="B18" s="272" t="s">
        <v>215</v>
      </c>
      <c r="C18" s="275" t="s">
        <v>106</v>
      </c>
      <c r="D18" s="160">
        <f>SUM(E18,K18)</f>
        <v>185000</v>
      </c>
      <c r="E18" s="160">
        <f>SUM(F18,I18,J18)</f>
        <v>185000</v>
      </c>
      <c r="F18" s="274">
        <f>SUM(G18:H18)</f>
        <v>185000</v>
      </c>
      <c r="G18" s="274">
        <v>0</v>
      </c>
      <c r="H18" s="274">
        <v>185000</v>
      </c>
      <c r="I18" s="274">
        <v>0</v>
      </c>
      <c r="J18" s="274">
        <v>0</v>
      </c>
      <c r="K18" s="160">
        <v>0</v>
      </c>
    </row>
    <row r="19" spans="1:11" ht="29.25" customHeight="1">
      <c r="A19" s="421" t="s">
        <v>220</v>
      </c>
      <c r="B19" s="444" t="s">
        <v>107</v>
      </c>
      <c r="C19" s="444"/>
      <c r="D19" s="271">
        <f aca="true" t="shared" si="4" ref="D19:K19">SUM(D20:D21)</f>
        <v>749000</v>
      </c>
      <c r="E19" s="271">
        <f t="shared" si="4"/>
        <v>749000</v>
      </c>
      <c r="F19" s="271">
        <f t="shared" si="4"/>
        <v>749000</v>
      </c>
      <c r="G19" s="271">
        <f t="shared" si="4"/>
        <v>736450</v>
      </c>
      <c r="H19" s="271">
        <f t="shared" si="4"/>
        <v>12550</v>
      </c>
      <c r="I19" s="271">
        <f t="shared" si="4"/>
        <v>0</v>
      </c>
      <c r="J19" s="271">
        <f t="shared" si="4"/>
        <v>0</v>
      </c>
      <c r="K19" s="271">
        <f t="shared" si="4"/>
        <v>0</v>
      </c>
    </row>
    <row r="20" spans="1:11" ht="31.5" customHeight="1">
      <c r="A20" s="421"/>
      <c r="B20" s="272" t="s">
        <v>221</v>
      </c>
      <c r="C20" s="275" t="s">
        <v>111</v>
      </c>
      <c r="D20" s="160">
        <f>SUM(E20,K20)</f>
        <v>689000</v>
      </c>
      <c r="E20" s="160">
        <f>SUM(F20,I20,J20)</f>
        <v>689000</v>
      </c>
      <c r="F20" s="274">
        <f>SUM(G20:H20)</f>
        <v>689000</v>
      </c>
      <c r="G20" s="274">
        <v>689000</v>
      </c>
      <c r="H20" s="276">
        <v>0</v>
      </c>
      <c r="I20" s="276">
        <v>0</v>
      </c>
      <c r="J20" s="276">
        <v>0</v>
      </c>
      <c r="K20" s="160">
        <v>0</v>
      </c>
    </row>
    <row r="21" spans="1:11" ht="31.5" customHeight="1">
      <c r="A21" s="421"/>
      <c r="B21" s="272" t="s">
        <v>230</v>
      </c>
      <c r="C21" s="275" t="s">
        <v>116</v>
      </c>
      <c r="D21" s="160">
        <f>SUM(E21,K21)</f>
        <v>60000</v>
      </c>
      <c r="E21" s="160">
        <f>SUM(F21,I21,J21)</f>
        <v>60000</v>
      </c>
      <c r="F21" s="274">
        <f>SUM(G21:H21)</f>
        <v>60000</v>
      </c>
      <c r="G21" s="274">
        <v>47450</v>
      </c>
      <c r="H21" s="274">
        <v>12550</v>
      </c>
      <c r="I21" s="274">
        <v>0</v>
      </c>
      <c r="J21" s="274">
        <v>0</v>
      </c>
      <c r="K21" s="160">
        <v>0</v>
      </c>
    </row>
    <row r="22" spans="1:11" ht="29.25" customHeight="1">
      <c r="A22" s="421" t="s">
        <v>238</v>
      </c>
      <c r="B22" s="444" t="s">
        <v>122</v>
      </c>
      <c r="C22" s="444"/>
      <c r="D22" s="271">
        <f>SUM(D23)</f>
        <v>2500</v>
      </c>
      <c r="E22" s="271">
        <f aca="true" t="shared" si="5" ref="E22:K22">SUM(E23)</f>
        <v>2500</v>
      </c>
      <c r="F22" s="271">
        <f t="shared" si="5"/>
        <v>2500</v>
      </c>
      <c r="G22" s="271">
        <f t="shared" si="5"/>
        <v>0</v>
      </c>
      <c r="H22" s="271">
        <f t="shared" si="5"/>
        <v>2500</v>
      </c>
      <c r="I22" s="271">
        <f t="shared" si="5"/>
        <v>0</v>
      </c>
      <c r="J22" s="271">
        <f t="shared" si="5"/>
        <v>0</v>
      </c>
      <c r="K22" s="271">
        <f t="shared" si="5"/>
        <v>0</v>
      </c>
    </row>
    <row r="23" spans="1:11" ht="31.5" customHeight="1">
      <c r="A23" s="421"/>
      <c r="B23" s="272" t="s">
        <v>239</v>
      </c>
      <c r="C23" s="275" t="s">
        <v>123</v>
      </c>
      <c r="D23" s="160">
        <f>SUM(E23,K23)</f>
        <v>2500</v>
      </c>
      <c r="E23" s="160">
        <f>SUM(F23,I23,J23)</f>
        <v>2500</v>
      </c>
      <c r="F23" s="274">
        <f>SUM(G23:H23)</f>
        <v>2500</v>
      </c>
      <c r="G23" s="274">
        <v>0</v>
      </c>
      <c r="H23" s="274">
        <v>2500</v>
      </c>
      <c r="I23" s="274">
        <v>0</v>
      </c>
      <c r="J23" s="274">
        <v>0</v>
      </c>
      <c r="K23" s="160">
        <v>0</v>
      </c>
    </row>
    <row r="24" spans="1:11" ht="27.75" customHeight="1">
      <c r="A24" s="421" t="s">
        <v>252</v>
      </c>
      <c r="B24" s="445" t="s">
        <v>441</v>
      </c>
      <c r="C24" s="445"/>
      <c r="D24" s="271">
        <f>SUM(D25:D26)</f>
        <v>515000</v>
      </c>
      <c r="E24" s="271">
        <f aca="true" t="shared" si="6" ref="E24:K24">SUM(E25:E26)</f>
        <v>15000</v>
      </c>
      <c r="F24" s="271">
        <f t="shared" si="6"/>
        <v>15000</v>
      </c>
      <c r="G24" s="271">
        <f t="shared" si="6"/>
        <v>0</v>
      </c>
      <c r="H24" s="271">
        <f t="shared" si="6"/>
        <v>15000</v>
      </c>
      <c r="I24" s="271">
        <f t="shared" si="6"/>
        <v>0</v>
      </c>
      <c r="J24" s="271">
        <f>SUM(J25:J26)</f>
        <v>0</v>
      </c>
      <c r="K24" s="271">
        <f t="shared" si="6"/>
        <v>500000</v>
      </c>
    </row>
    <row r="25" spans="1:11" ht="27.75" customHeight="1">
      <c r="A25" s="421"/>
      <c r="B25" s="277">
        <v>85141</v>
      </c>
      <c r="C25" s="277" t="s">
        <v>150</v>
      </c>
      <c r="D25" s="160">
        <f>SUM(E25,K25)</f>
        <v>500000</v>
      </c>
      <c r="E25" s="160">
        <f>SUM(F25,I25,J25)</f>
        <v>0</v>
      </c>
      <c r="F25" s="274">
        <f>SUM(G25:H25)</f>
        <v>0</v>
      </c>
      <c r="G25" s="274">
        <v>0</v>
      </c>
      <c r="H25" s="274">
        <v>0</v>
      </c>
      <c r="I25" s="274">
        <v>0</v>
      </c>
      <c r="J25" s="274">
        <v>0</v>
      </c>
      <c r="K25" s="160">
        <v>500000</v>
      </c>
    </row>
    <row r="26" spans="1:11" ht="50.25" customHeight="1">
      <c r="A26" s="421"/>
      <c r="B26" s="272" t="s">
        <v>443</v>
      </c>
      <c r="C26" s="275" t="s">
        <v>151</v>
      </c>
      <c r="D26" s="160">
        <f>SUM(E26,K26)</f>
        <v>15000</v>
      </c>
      <c r="E26" s="160">
        <f>SUM(F26,I26,J26)</f>
        <v>15000</v>
      </c>
      <c r="F26" s="274">
        <f>SUM(G26:H26)</f>
        <v>15000</v>
      </c>
      <c r="G26" s="274">
        <v>0</v>
      </c>
      <c r="H26" s="274">
        <v>15000</v>
      </c>
      <c r="I26" s="274">
        <v>0</v>
      </c>
      <c r="J26" s="274">
        <v>0</v>
      </c>
      <c r="K26" s="160">
        <v>0</v>
      </c>
    </row>
    <row r="27" spans="1:11" ht="25.5" customHeight="1">
      <c r="A27" s="421" t="s">
        <v>253</v>
      </c>
      <c r="B27" s="444" t="s">
        <v>152</v>
      </c>
      <c r="C27" s="444"/>
      <c r="D27" s="271">
        <f>D28</f>
        <v>743000</v>
      </c>
      <c r="E27" s="271">
        <f aca="true" t="shared" si="7" ref="E27:K27">E28</f>
        <v>743000</v>
      </c>
      <c r="F27" s="271">
        <f t="shared" si="7"/>
        <v>743000</v>
      </c>
      <c r="G27" s="271">
        <f t="shared" si="7"/>
        <v>743000</v>
      </c>
      <c r="H27" s="271">
        <f t="shared" si="7"/>
        <v>0</v>
      </c>
      <c r="I27" s="271">
        <f t="shared" si="7"/>
        <v>0</v>
      </c>
      <c r="J27" s="271">
        <f t="shared" si="7"/>
        <v>0</v>
      </c>
      <c r="K27" s="271">
        <f t="shared" si="7"/>
        <v>0</v>
      </c>
    </row>
    <row r="28" spans="1:11" ht="51.75" customHeight="1">
      <c r="A28" s="421"/>
      <c r="B28" s="272" t="s">
        <v>445</v>
      </c>
      <c r="C28" s="275" t="s">
        <v>153</v>
      </c>
      <c r="D28" s="160">
        <f>SUM(E28,K28)</f>
        <v>743000</v>
      </c>
      <c r="E28" s="160">
        <f>SUM(F28,I28,J28)</f>
        <v>743000</v>
      </c>
      <c r="F28" s="274">
        <f>SUM(G28:H28)</f>
        <v>743000</v>
      </c>
      <c r="G28" s="274">
        <v>743000</v>
      </c>
      <c r="H28" s="274">
        <v>0</v>
      </c>
      <c r="I28" s="274">
        <v>0</v>
      </c>
      <c r="J28" s="274">
        <v>0</v>
      </c>
      <c r="K28" s="160">
        <v>0</v>
      </c>
    </row>
    <row r="29" spans="1:11" ht="32.25" customHeight="1">
      <c r="A29" s="421" t="s">
        <v>254</v>
      </c>
      <c r="B29" s="446" t="s">
        <v>156</v>
      </c>
      <c r="C29" s="446"/>
      <c r="D29" s="271">
        <f>SUM(D30)</f>
        <v>48000</v>
      </c>
      <c r="E29" s="271">
        <f aca="true" t="shared" si="8" ref="E29:K29">SUM(E30)</f>
        <v>48000</v>
      </c>
      <c r="F29" s="271">
        <f t="shared" si="8"/>
        <v>33539</v>
      </c>
      <c r="G29" s="271">
        <f t="shared" si="8"/>
        <v>32039</v>
      </c>
      <c r="H29" s="271">
        <f t="shared" si="8"/>
        <v>1500</v>
      </c>
      <c r="I29" s="271">
        <f t="shared" si="8"/>
        <v>0</v>
      </c>
      <c r="J29" s="271">
        <f t="shared" si="8"/>
        <v>14461</v>
      </c>
      <c r="K29" s="271">
        <f t="shared" si="8"/>
        <v>0</v>
      </c>
    </row>
    <row r="30" spans="1:11" ht="30.75" customHeight="1">
      <c r="A30" s="421"/>
      <c r="B30" s="272" t="s">
        <v>447</v>
      </c>
      <c r="C30" s="277" t="s">
        <v>448</v>
      </c>
      <c r="D30" s="160">
        <f>SUM(E30,K30)</f>
        <v>48000</v>
      </c>
      <c r="E30" s="160">
        <f>SUM(F30,I30,J30)</f>
        <v>48000</v>
      </c>
      <c r="F30" s="274">
        <f>SUM(G30:H30)</f>
        <v>33539</v>
      </c>
      <c r="G30" s="276">
        <v>32039</v>
      </c>
      <c r="H30" s="276">
        <v>1500</v>
      </c>
      <c r="I30" s="276">
        <v>0</v>
      </c>
      <c r="J30" s="276">
        <v>14461</v>
      </c>
      <c r="K30" s="160">
        <v>0</v>
      </c>
    </row>
    <row r="31" spans="1:11" ht="34.5" customHeight="1">
      <c r="A31" s="407" t="s">
        <v>409</v>
      </c>
      <c r="B31" s="407"/>
      <c r="C31" s="407"/>
      <c r="D31" s="216">
        <f>SUM(D29,D27,D24,D22,D19,D15,D13,D11,D6)</f>
        <v>78167500</v>
      </c>
      <c r="E31" s="216">
        <f aca="true" t="shared" si="9" ref="E31:K31">SUM(E29,E27,E24,E22,E19,E15,E13,E11,E6)</f>
        <v>62214500</v>
      </c>
      <c r="F31" s="216">
        <f t="shared" si="9"/>
        <v>11798039</v>
      </c>
      <c r="G31" s="216">
        <f t="shared" si="9"/>
        <v>4865489</v>
      </c>
      <c r="H31" s="216">
        <f t="shared" si="9"/>
        <v>6932550</v>
      </c>
      <c r="I31" s="216">
        <f t="shared" si="9"/>
        <v>50402000</v>
      </c>
      <c r="J31" s="216">
        <f t="shared" si="9"/>
        <v>14461</v>
      </c>
      <c r="K31" s="216">
        <f t="shared" si="9"/>
        <v>15953000</v>
      </c>
    </row>
    <row r="32" spans="1:11" ht="12.75">
      <c r="A32" s="278"/>
      <c r="B32" s="279"/>
      <c r="E32" s="257"/>
      <c r="F32" s="257"/>
      <c r="G32" s="257"/>
      <c r="H32" s="257"/>
      <c r="I32" s="257"/>
      <c r="J32" s="257"/>
      <c r="K32" s="257"/>
    </row>
    <row r="33" spans="1:11" ht="12.75">
      <c r="A33" s="278"/>
      <c r="B33" s="279"/>
      <c r="E33" s="257"/>
      <c r="F33" s="257"/>
      <c r="G33" s="257"/>
      <c r="H33" s="257"/>
      <c r="I33" s="257"/>
      <c r="J33" s="257"/>
      <c r="K33" s="257"/>
    </row>
    <row r="34" spans="1:11" ht="12.75">
      <c r="A34" s="278"/>
      <c r="B34" s="279"/>
      <c r="E34" s="257"/>
      <c r="F34" s="257"/>
      <c r="G34" s="257"/>
      <c r="H34" s="257"/>
      <c r="I34" s="257"/>
      <c r="J34" s="257"/>
      <c r="K34" s="257"/>
    </row>
    <row r="35" spans="1:11" ht="12.75">
      <c r="A35" s="278"/>
      <c r="B35" s="279"/>
      <c r="E35" s="257"/>
      <c r="F35" s="257"/>
      <c r="G35" s="257"/>
      <c r="H35" s="257"/>
      <c r="I35" s="257"/>
      <c r="J35" s="257"/>
      <c r="K35" s="257"/>
    </row>
    <row r="36" spans="1:11" ht="12.75">
      <c r="A36" s="278"/>
      <c r="B36" s="279"/>
      <c r="E36" s="257"/>
      <c r="F36" s="257"/>
      <c r="G36" s="257"/>
      <c r="H36" s="257"/>
      <c r="I36" s="257"/>
      <c r="J36" s="257"/>
      <c r="K36" s="257"/>
    </row>
    <row r="37" spans="1:11" ht="12.75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443"/>
    </row>
    <row r="38" spans="1:11" ht="12.75">
      <c r="A38" s="278"/>
      <c r="B38" s="279"/>
      <c r="E38" s="257"/>
      <c r="F38" s="257"/>
      <c r="G38" s="257"/>
      <c r="H38" s="257"/>
      <c r="I38" s="257"/>
      <c r="J38" s="257"/>
      <c r="K38" s="257"/>
    </row>
    <row r="39" spans="1:11" ht="12.75">
      <c r="A39" s="278"/>
      <c r="B39" s="279"/>
      <c r="E39" s="257"/>
      <c r="F39" s="257"/>
      <c r="G39" s="257"/>
      <c r="H39" s="257"/>
      <c r="I39" s="257"/>
      <c r="J39" s="257"/>
      <c r="K39" s="257"/>
    </row>
    <row r="40" spans="1:11" ht="12.75">
      <c r="A40" s="278"/>
      <c r="B40" s="279"/>
      <c r="E40" s="257"/>
      <c r="F40" s="257"/>
      <c r="G40" s="257"/>
      <c r="H40" s="257"/>
      <c r="I40" s="257"/>
      <c r="J40" s="257"/>
      <c r="K40" s="257"/>
    </row>
    <row r="41" spans="1:11" ht="12.75">
      <c r="A41" s="278"/>
      <c r="B41" s="279"/>
      <c r="E41" s="257"/>
      <c r="F41" s="257"/>
      <c r="G41" s="257"/>
      <c r="H41" s="257"/>
      <c r="I41" s="257"/>
      <c r="J41" s="257"/>
      <c r="K41" s="257"/>
    </row>
    <row r="42" spans="1:11" ht="12.75">
      <c r="A42" s="278"/>
      <c r="B42" s="279"/>
      <c r="E42" s="257"/>
      <c r="F42" s="257"/>
      <c r="G42" s="257"/>
      <c r="H42" s="257"/>
      <c r="I42" s="257"/>
      <c r="J42" s="257"/>
      <c r="K42" s="257"/>
    </row>
    <row r="43" spans="1:11" ht="12.75">
      <c r="A43" s="278"/>
      <c r="B43" s="279"/>
      <c r="E43" s="257"/>
      <c r="F43" s="257"/>
      <c r="G43" s="257"/>
      <c r="H43" s="257"/>
      <c r="I43" s="257"/>
      <c r="J43" s="257"/>
      <c r="K43" s="257"/>
    </row>
    <row r="44" spans="1:11" ht="12.75">
      <c r="A44" s="278"/>
      <c r="B44" s="279"/>
      <c r="E44" s="257"/>
      <c r="F44" s="257"/>
      <c r="G44" s="257"/>
      <c r="H44" s="257"/>
      <c r="I44" s="257"/>
      <c r="J44" s="257"/>
      <c r="K44" s="257"/>
    </row>
    <row r="45" spans="1:11" ht="12.75">
      <c r="A45" s="280"/>
      <c r="B45" s="279"/>
      <c r="E45" s="257"/>
      <c r="F45" s="257"/>
      <c r="G45" s="257"/>
      <c r="H45" s="257"/>
      <c r="I45" s="257"/>
      <c r="J45" s="257"/>
      <c r="K45" s="257"/>
    </row>
    <row r="46" spans="1:11" ht="12.75">
      <c r="A46" s="280"/>
      <c r="B46" s="279"/>
      <c r="E46" s="257"/>
      <c r="F46" s="257"/>
      <c r="G46" s="257"/>
      <c r="H46" s="257"/>
      <c r="I46" s="257"/>
      <c r="J46" s="257"/>
      <c r="K46" s="257"/>
    </row>
    <row r="47" spans="1:11" ht="12.75">
      <c r="A47" s="280"/>
      <c r="B47" s="279"/>
      <c r="E47" s="257"/>
      <c r="F47" s="257"/>
      <c r="G47" s="257"/>
      <c r="H47" s="257"/>
      <c r="I47" s="257"/>
      <c r="J47" s="257"/>
      <c r="K47" s="257"/>
    </row>
    <row r="48" spans="1:11" ht="12.75">
      <c r="A48" s="280"/>
      <c r="B48" s="279"/>
      <c r="E48" s="257"/>
      <c r="F48" s="257"/>
      <c r="G48" s="257"/>
      <c r="H48" s="257"/>
      <c r="I48" s="257"/>
      <c r="J48" s="257"/>
      <c r="K48" s="257"/>
    </row>
    <row r="49" spans="1:11" ht="12.75">
      <c r="A49" s="280"/>
      <c r="B49" s="279"/>
      <c r="E49" s="257"/>
      <c r="F49" s="257"/>
      <c r="G49" s="257"/>
      <c r="H49" s="257"/>
      <c r="I49" s="257"/>
      <c r="J49" s="257"/>
      <c r="K49" s="257"/>
    </row>
    <row r="50" spans="1:11" ht="12.75">
      <c r="A50" s="280"/>
      <c r="B50" s="279"/>
      <c r="E50" s="257"/>
      <c r="F50" s="257"/>
      <c r="G50" s="257"/>
      <c r="H50" s="257"/>
      <c r="I50" s="257"/>
      <c r="J50" s="257"/>
      <c r="K50" s="257"/>
    </row>
    <row r="51" spans="1:11" ht="12.75">
      <c r="A51" s="280"/>
      <c r="B51" s="279"/>
      <c r="E51" s="257"/>
      <c r="F51" s="257"/>
      <c r="G51" s="257"/>
      <c r="H51" s="257"/>
      <c r="I51" s="257"/>
      <c r="J51" s="257"/>
      <c r="K51" s="257"/>
    </row>
    <row r="52" spans="1:11" ht="12.75">
      <c r="A52" s="280"/>
      <c r="B52" s="279"/>
      <c r="E52" s="257"/>
      <c r="F52" s="257"/>
      <c r="G52" s="257"/>
      <c r="H52" s="257"/>
      <c r="I52" s="257"/>
      <c r="J52" s="257"/>
      <c r="K52" s="257"/>
    </row>
    <row r="53" spans="1:11" ht="12.75">
      <c r="A53" s="280"/>
      <c r="B53" s="279"/>
      <c r="E53" s="257"/>
      <c r="F53" s="257"/>
      <c r="G53" s="257"/>
      <c r="H53" s="257"/>
      <c r="I53" s="257"/>
      <c r="J53" s="257"/>
      <c r="K53" s="257"/>
    </row>
    <row r="54" spans="1:11" ht="12.75">
      <c r="A54" s="280"/>
      <c r="B54" s="279"/>
      <c r="E54" s="257"/>
      <c r="F54" s="257"/>
      <c r="G54" s="257"/>
      <c r="H54" s="257"/>
      <c r="I54" s="257"/>
      <c r="J54" s="257"/>
      <c r="K54" s="257"/>
    </row>
    <row r="55" spans="1:11" ht="12.75">
      <c r="A55" s="280"/>
      <c r="B55" s="279"/>
      <c r="E55" s="257"/>
      <c r="F55" s="257"/>
      <c r="G55" s="257"/>
      <c r="H55" s="257"/>
      <c r="I55" s="257"/>
      <c r="J55" s="257"/>
      <c r="K55" s="257"/>
    </row>
    <row r="56" spans="1:11" ht="12.75">
      <c r="A56" s="280"/>
      <c r="B56" s="279"/>
      <c r="E56" s="257"/>
      <c r="F56" s="257"/>
      <c r="G56" s="257"/>
      <c r="H56" s="257"/>
      <c r="I56" s="257"/>
      <c r="J56" s="257"/>
      <c r="K56" s="257"/>
    </row>
    <row r="57" spans="1:11" ht="12.75">
      <c r="A57" s="280"/>
      <c r="B57" s="279"/>
      <c r="E57" s="257"/>
      <c r="F57" s="257"/>
      <c r="G57" s="257"/>
      <c r="H57" s="257"/>
      <c r="I57" s="257"/>
      <c r="J57" s="257"/>
      <c r="K57" s="257"/>
    </row>
    <row r="58" spans="1:11" ht="12.75">
      <c r="A58" s="280"/>
      <c r="B58" s="279"/>
      <c r="E58" s="257"/>
      <c r="F58" s="257"/>
      <c r="G58" s="257"/>
      <c r="H58" s="257"/>
      <c r="I58" s="257"/>
      <c r="J58" s="257"/>
      <c r="K58" s="257"/>
    </row>
    <row r="59" spans="1:11" ht="12.75">
      <c r="A59" s="280"/>
      <c r="B59" s="279"/>
      <c r="E59" s="257"/>
      <c r="F59" s="257"/>
      <c r="G59" s="257"/>
      <c r="H59" s="257"/>
      <c r="I59" s="257"/>
      <c r="J59" s="257"/>
      <c r="K59" s="257"/>
    </row>
    <row r="60" spans="1:11" ht="12.75">
      <c r="A60" s="280"/>
      <c r="B60" s="279"/>
      <c r="E60" s="257"/>
      <c r="F60" s="257"/>
      <c r="G60" s="257"/>
      <c r="H60" s="257"/>
      <c r="I60" s="257"/>
      <c r="J60" s="257"/>
      <c r="K60" s="257"/>
    </row>
    <row r="61" ht="12.75">
      <c r="A61" s="280"/>
    </row>
    <row r="62" ht="12.75">
      <c r="A62" s="280"/>
    </row>
    <row r="63" ht="12.75">
      <c r="A63" s="280"/>
    </row>
    <row r="64" ht="12.75">
      <c r="A64" s="280"/>
    </row>
    <row r="65" ht="12.75">
      <c r="A65" s="280"/>
    </row>
    <row r="66" ht="12.75">
      <c r="A66" s="280"/>
    </row>
    <row r="67" ht="12.75">
      <c r="A67" s="280"/>
    </row>
    <row r="68" ht="12.75">
      <c r="A68" s="280"/>
    </row>
    <row r="69" ht="12.75">
      <c r="A69" s="280"/>
    </row>
    <row r="70" ht="12.75">
      <c r="A70" s="280"/>
    </row>
    <row r="71" ht="12.75">
      <c r="A71" s="280"/>
    </row>
    <row r="72" ht="12.75">
      <c r="A72" s="280"/>
    </row>
    <row r="73" ht="12.75">
      <c r="A73" s="280"/>
    </row>
    <row r="74" ht="12.75">
      <c r="A74" s="280"/>
    </row>
    <row r="75" ht="12.75">
      <c r="A75" s="280"/>
    </row>
    <row r="76" ht="12.75">
      <c r="A76" s="280"/>
    </row>
    <row r="77" ht="12.75">
      <c r="A77" s="280"/>
    </row>
    <row r="78" ht="12.75">
      <c r="A78" s="280"/>
    </row>
    <row r="79" ht="12.75">
      <c r="A79" s="280"/>
    </row>
    <row r="80" ht="12.75">
      <c r="A80" s="280"/>
    </row>
    <row r="81" ht="12.75">
      <c r="A81" s="280"/>
    </row>
    <row r="82" ht="12.75">
      <c r="A82" s="280"/>
    </row>
    <row r="83" ht="12.75">
      <c r="A83" s="280"/>
    </row>
    <row r="84" ht="12.75">
      <c r="A84" s="280"/>
    </row>
    <row r="85" ht="12.75">
      <c r="A85" s="280"/>
    </row>
    <row r="86" ht="12.75">
      <c r="A86" s="280"/>
    </row>
    <row r="87" ht="12.75">
      <c r="A87" s="280"/>
    </row>
    <row r="88" ht="12.75">
      <c r="A88" s="280"/>
    </row>
    <row r="89" ht="12.75">
      <c r="A89" s="280"/>
    </row>
    <row r="90" ht="12.75">
      <c r="A90" s="280"/>
    </row>
    <row r="91" ht="12.75">
      <c r="A91" s="280"/>
    </row>
    <row r="92" ht="12.75">
      <c r="A92" s="280"/>
    </row>
    <row r="93" ht="12.75">
      <c r="A93" s="280"/>
    </row>
    <row r="94" ht="12.75">
      <c r="A94" s="280"/>
    </row>
    <row r="95" ht="12.75">
      <c r="A95" s="280"/>
    </row>
    <row r="96" ht="12.75">
      <c r="A96" s="280"/>
    </row>
    <row r="97" ht="12.75">
      <c r="A97" s="280"/>
    </row>
    <row r="98" ht="12.75">
      <c r="A98" s="280"/>
    </row>
    <row r="99" ht="12.75">
      <c r="A99" s="280"/>
    </row>
    <row r="100" ht="12.75">
      <c r="A100" s="280"/>
    </row>
    <row r="101" ht="12.75">
      <c r="A101" s="280"/>
    </row>
    <row r="102" ht="12.75">
      <c r="A102" s="280"/>
    </row>
    <row r="103" ht="12.75">
      <c r="A103" s="280"/>
    </row>
  </sheetData>
  <sheetProtection/>
  <mergeCells count="32">
    <mergeCell ref="A2:K2"/>
    <mergeCell ref="A3:A5"/>
    <mergeCell ref="B3:B5"/>
    <mergeCell ref="C3:C5"/>
    <mergeCell ref="D3:D5"/>
    <mergeCell ref="E3:E5"/>
    <mergeCell ref="F3:J3"/>
    <mergeCell ref="K3:K5"/>
    <mergeCell ref="F4:F5"/>
    <mergeCell ref="G4:H4"/>
    <mergeCell ref="I4:I5"/>
    <mergeCell ref="J4:J5"/>
    <mergeCell ref="A6:A10"/>
    <mergeCell ref="B6:C6"/>
    <mergeCell ref="A11:A12"/>
    <mergeCell ref="B11:C11"/>
    <mergeCell ref="A13:A14"/>
    <mergeCell ref="B13:C13"/>
    <mergeCell ref="A15:A18"/>
    <mergeCell ref="B15:C15"/>
    <mergeCell ref="A19:A21"/>
    <mergeCell ref="B19:C19"/>
    <mergeCell ref="A29:A30"/>
    <mergeCell ref="B29:C29"/>
    <mergeCell ref="A31:C31"/>
    <mergeCell ref="A37:K37"/>
    <mergeCell ref="A22:A23"/>
    <mergeCell ref="B22:C22"/>
    <mergeCell ref="A24:A26"/>
    <mergeCell ref="B24:C24"/>
    <mergeCell ref="A27:A28"/>
    <mergeCell ref="B27:C27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Normal="75" zoomScaleSheetLayoutView="100" zoomScalePageLayoutView="0" workbookViewId="0" topLeftCell="A11">
      <selection activeCell="A2" sqref="A2:G2"/>
    </sheetView>
  </sheetViews>
  <sheetFormatPr defaultColWidth="9.140625" defaultRowHeight="15"/>
  <cols>
    <col min="1" max="1" width="8.140625" style="267" customWidth="1"/>
    <col min="2" max="2" width="10.421875" style="267" customWidth="1"/>
    <col min="3" max="3" width="9.421875" style="268" customWidth="1"/>
    <col min="4" max="4" width="36.57421875" style="229" customWidth="1"/>
    <col min="5" max="5" width="12.140625" style="229" bestFit="1" customWidth="1"/>
    <col min="6" max="6" width="15.7109375" style="229" customWidth="1"/>
    <col min="7" max="7" width="14.8515625" style="229" customWidth="1"/>
    <col min="8" max="16384" width="9.140625" style="229" customWidth="1"/>
  </cols>
  <sheetData>
    <row r="1" spans="1:7" ht="66.75" customHeight="1">
      <c r="A1" s="246"/>
      <c r="B1" s="246"/>
      <c r="C1" s="249"/>
      <c r="D1" s="281"/>
      <c r="E1" s="465" t="s">
        <v>517</v>
      </c>
      <c r="F1" s="465"/>
      <c r="G1" s="465"/>
    </row>
    <row r="2" spans="1:7" ht="90.75" customHeight="1">
      <c r="A2" s="414" t="s">
        <v>459</v>
      </c>
      <c r="B2" s="414"/>
      <c r="C2" s="414"/>
      <c r="D2" s="414"/>
      <c r="E2" s="414"/>
      <c r="F2" s="414"/>
      <c r="G2" s="414"/>
    </row>
    <row r="3" spans="1:7" ht="35.25" customHeight="1">
      <c r="A3" s="382" t="s">
        <v>60</v>
      </c>
      <c r="B3" s="382" t="s">
        <v>176</v>
      </c>
      <c r="C3" s="382" t="s">
        <v>420</v>
      </c>
      <c r="D3" s="382" t="s">
        <v>392</v>
      </c>
      <c r="E3" s="413" t="s">
        <v>460</v>
      </c>
      <c r="F3" s="422" t="s">
        <v>461</v>
      </c>
      <c r="G3" s="422"/>
    </row>
    <row r="4" spans="1:7" ht="28.5" customHeight="1">
      <c r="A4" s="382"/>
      <c r="B4" s="382"/>
      <c r="C4" s="382"/>
      <c r="D4" s="382"/>
      <c r="E4" s="382"/>
      <c r="F4" s="270" t="s">
        <v>462</v>
      </c>
      <c r="G4" s="270" t="s">
        <v>463</v>
      </c>
    </row>
    <row r="5" spans="1:7" ht="31.5" customHeight="1">
      <c r="A5" s="456" t="s">
        <v>64</v>
      </c>
      <c r="B5" s="424" t="s">
        <v>65</v>
      </c>
      <c r="C5" s="424"/>
      <c r="D5" s="424"/>
      <c r="E5" s="217">
        <f>SUM(E6,E9)</f>
        <v>7683368</v>
      </c>
      <c r="F5" s="217">
        <f>SUM(F6,F9)</f>
        <v>7682000</v>
      </c>
      <c r="G5" s="217">
        <f>SUM(G6,G9)</f>
        <v>1368</v>
      </c>
    </row>
    <row r="6" spans="1:7" ht="29.25" customHeight="1">
      <c r="A6" s="457"/>
      <c r="B6" s="459" t="s">
        <v>74</v>
      </c>
      <c r="C6" s="438" t="s">
        <v>75</v>
      </c>
      <c r="D6" s="438"/>
      <c r="E6" s="221">
        <f>SUM(E7:E8)</f>
        <v>3365368</v>
      </c>
      <c r="F6" s="221">
        <f>SUM(F7:F8)</f>
        <v>3364000</v>
      </c>
      <c r="G6" s="221">
        <f>SUM(G7:G8)</f>
        <v>1368</v>
      </c>
    </row>
    <row r="7" spans="1:7" ht="27.75" customHeight="1">
      <c r="A7" s="457"/>
      <c r="B7" s="460"/>
      <c r="C7" s="260">
        <v>2350</v>
      </c>
      <c r="D7" s="282"/>
      <c r="E7" s="161">
        <f>F7+G7</f>
        <v>27368</v>
      </c>
      <c r="F7" s="161">
        <v>26000</v>
      </c>
      <c r="G7" s="141">
        <v>1368</v>
      </c>
    </row>
    <row r="8" spans="1:7" ht="27.75" customHeight="1">
      <c r="A8" s="457"/>
      <c r="B8" s="461"/>
      <c r="C8" s="260">
        <v>8558</v>
      </c>
      <c r="D8" s="282"/>
      <c r="E8" s="161">
        <f>F8+G8</f>
        <v>3338000</v>
      </c>
      <c r="F8" s="161">
        <v>3338000</v>
      </c>
      <c r="G8" s="141">
        <v>0</v>
      </c>
    </row>
    <row r="9" spans="1:7" ht="27.75" customHeight="1">
      <c r="A9" s="457"/>
      <c r="B9" s="459" t="s">
        <v>79</v>
      </c>
      <c r="C9" s="462" t="s">
        <v>436</v>
      </c>
      <c r="D9" s="463"/>
      <c r="E9" s="221">
        <f>SUM(E10)</f>
        <v>4318000</v>
      </c>
      <c r="F9" s="221">
        <f>SUM(F10)</f>
        <v>4318000</v>
      </c>
      <c r="G9" s="221">
        <f>SUM(G10)</f>
        <v>0</v>
      </c>
    </row>
    <row r="10" spans="1:7" ht="27.75" customHeight="1">
      <c r="A10" s="458"/>
      <c r="B10" s="461"/>
      <c r="C10" s="260">
        <v>8558</v>
      </c>
      <c r="D10" s="282"/>
      <c r="E10" s="161">
        <f>SUM(F10:G10)</f>
        <v>4318000</v>
      </c>
      <c r="F10" s="161">
        <v>4318000</v>
      </c>
      <c r="G10" s="141">
        <v>0</v>
      </c>
    </row>
    <row r="11" spans="1:7" ht="33.75" customHeight="1">
      <c r="A11" s="464" t="s">
        <v>220</v>
      </c>
      <c r="B11" s="424" t="s">
        <v>107</v>
      </c>
      <c r="C11" s="424"/>
      <c r="D11" s="424"/>
      <c r="E11" s="217">
        <f aca="true" t="shared" si="0" ref="E11:G12">SUM(E12)</f>
        <v>94737</v>
      </c>
      <c r="F11" s="217">
        <f t="shared" si="0"/>
        <v>90000</v>
      </c>
      <c r="G11" s="217">
        <f t="shared" si="0"/>
        <v>4737</v>
      </c>
    </row>
    <row r="12" spans="1:7" ht="25.5" customHeight="1">
      <c r="A12" s="464"/>
      <c r="B12" s="440" t="s">
        <v>230</v>
      </c>
      <c r="C12" s="438" t="s">
        <v>116</v>
      </c>
      <c r="D12" s="438"/>
      <c r="E12" s="221">
        <f t="shared" si="0"/>
        <v>94737</v>
      </c>
      <c r="F12" s="221">
        <f t="shared" si="0"/>
        <v>90000</v>
      </c>
      <c r="G12" s="221">
        <f t="shared" si="0"/>
        <v>4737</v>
      </c>
    </row>
    <row r="13" spans="1:7" ht="29.25" customHeight="1">
      <c r="A13" s="464"/>
      <c r="B13" s="440"/>
      <c r="C13" s="260">
        <v>2350</v>
      </c>
      <c r="D13" s="282"/>
      <c r="E13" s="161">
        <f>F13+G13</f>
        <v>94737</v>
      </c>
      <c r="F13" s="161">
        <v>90000</v>
      </c>
      <c r="G13" s="141">
        <v>4737</v>
      </c>
    </row>
    <row r="14" spans="1:7" ht="30" customHeight="1">
      <c r="A14" s="407" t="s">
        <v>278</v>
      </c>
      <c r="B14" s="407"/>
      <c r="C14" s="407"/>
      <c r="D14" s="407"/>
      <c r="E14" s="216">
        <f>E11+E5</f>
        <v>7778105</v>
      </c>
      <c r="F14" s="216">
        <f>F11+F5</f>
        <v>7772000</v>
      </c>
      <c r="G14" s="216">
        <f>G11+G5</f>
        <v>6105</v>
      </c>
    </row>
    <row r="15" spans="1:7" ht="15.75">
      <c r="A15" s="283"/>
      <c r="B15" s="283"/>
      <c r="C15" s="284"/>
      <c r="D15" s="285"/>
      <c r="E15" s="286"/>
      <c r="F15" s="287"/>
      <c r="G15" s="285"/>
    </row>
    <row r="16" spans="1:7" ht="15.75">
      <c r="A16" s="283"/>
      <c r="B16" s="283"/>
      <c r="C16" s="284"/>
      <c r="D16" s="285"/>
      <c r="E16" s="286"/>
      <c r="F16" s="287"/>
      <c r="G16" s="285"/>
    </row>
    <row r="17" spans="1:6" ht="15.75">
      <c r="A17" s="288"/>
      <c r="B17" s="288"/>
      <c r="C17" s="279"/>
      <c r="F17" s="257"/>
    </row>
    <row r="18" spans="1:6" ht="15.75">
      <c r="A18" s="288"/>
      <c r="B18" s="288"/>
      <c r="C18" s="279"/>
      <c r="F18" s="257"/>
    </row>
    <row r="19" spans="1:6" ht="15.75">
      <c r="A19" s="288"/>
      <c r="B19" s="288"/>
      <c r="C19" s="279"/>
      <c r="F19" s="257"/>
    </row>
    <row r="20" spans="1:6" ht="15.75">
      <c r="A20" s="455"/>
      <c r="B20" s="455"/>
      <c r="C20" s="455"/>
      <c r="D20" s="455"/>
      <c r="E20" s="455"/>
      <c r="F20" s="455"/>
    </row>
    <row r="21" spans="1:6" ht="15.75">
      <c r="A21" s="288"/>
      <c r="B21" s="288"/>
      <c r="C21" s="279"/>
      <c r="F21" s="257"/>
    </row>
    <row r="22" spans="1:6" ht="15.75">
      <c r="A22" s="288"/>
      <c r="B22" s="288"/>
      <c r="C22" s="279"/>
      <c r="F22" s="257"/>
    </row>
    <row r="23" spans="1:6" ht="15.75">
      <c r="A23" s="288"/>
      <c r="B23" s="288"/>
      <c r="C23" s="279"/>
      <c r="F23" s="257"/>
    </row>
    <row r="24" spans="1:6" ht="15.75">
      <c r="A24" s="288"/>
      <c r="B24" s="288"/>
      <c r="C24" s="279"/>
      <c r="F24" s="257"/>
    </row>
    <row r="25" spans="1:6" ht="15.75">
      <c r="A25" s="288"/>
      <c r="B25" s="288"/>
      <c r="C25" s="279"/>
      <c r="F25" s="257"/>
    </row>
    <row r="26" spans="1:6" ht="15.75">
      <c r="A26" s="288"/>
      <c r="B26" s="288"/>
      <c r="C26" s="279"/>
      <c r="F26" s="257"/>
    </row>
    <row r="27" spans="1:6" ht="15.75">
      <c r="A27" s="288"/>
      <c r="B27" s="288"/>
      <c r="C27" s="279"/>
      <c r="F27" s="257"/>
    </row>
    <row r="28" spans="3:6" ht="15.75">
      <c r="C28" s="279"/>
      <c r="F28" s="257"/>
    </row>
    <row r="29" spans="3:6" ht="15.75">
      <c r="C29" s="279"/>
      <c r="F29" s="257"/>
    </row>
    <row r="30" spans="3:6" ht="15.75">
      <c r="C30" s="279"/>
      <c r="F30" s="257"/>
    </row>
    <row r="31" spans="3:6" ht="15.75">
      <c r="C31" s="279"/>
      <c r="F31" s="257"/>
    </row>
    <row r="32" spans="3:6" ht="15.75">
      <c r="C32" s="279"/>
      <c r="F32" s="257"/>
    </row>
    <row r="33" spans="3:6" ht="15.75">
      <c r="C33" s="279"/>
      <c r="F33" s="257"/>
    </row>
    <row r="34" spans="3:6" ht="15.75">
      <c r="C34" s="279"/>
      <c r="F34" s="257"/>
    </row>
    <row r="35" spans="3:6" ht="15.75">
      <c r="C35" s="279"/>
      <c r="F35" s="257"/>
    </row>
    <row r="36" spans="3:6" ht="15.75">
      <c r="C36" s="279"/>
      <c r="F36" s="257"/>
    </row>
    <row r="37" spans="3:6" ht="15.75">
      <c r="C37" s="279"/>
      <c r="F37" s="257"/>
    </row>
    <row r="38" spans="3:6" ht="15.75">
      <c r="C38" s="279"/>
      <c r="F38" s="257"/>
    </row>
    <row r="39" spans="3:6" ht="15.75">
      <c r="C39" s="279"/>
      <c r="F39" s="257"/>
    </row>
    <row r="40" spans="3:6" ht="15.75">
      <c r="C40" s="279"/>
      <c r="F40" s="257"/>
    </row>
    <row r="41" spans="3:6" ht="15.75">
      <c r="C41" s="279"/>
      <c r="F41" s="257"/>
    </row>
    <row r="42" spans="3:6" ht="15.75">
      <c r="C42" s="279"/>
      <c r="F42" s="257"/>
    </row>
    <row r="43" spans="3:6" ht="15.75">
      <c r="C43" s="279"/>
      <c r="F43" s="257"/>
    </row>
  </sheetData>
  <sheetProtection/>
  <mergeCells count="20">
    <mergeCell ref="E1:G1"/>
    <mergeCell ref="A2:G2"/>
    <mergeCell ref="A3:A4"/>
    <mergeCell ref="B3:B4"/>
    <mergeCell ref="C3:C4"/>
    <mergeCell ref="D3:D4"/>
    <mergeCell ref="E3:E4"/>
    <mergeCell ref="F3:G3"/>
    <mergeCell ref="A20:F20"/>
    <mergeCell ref="A5:A10"/>
    <mergeCell ref="B5:D5"/>
    <mergeCell ref="B6:B8"/>
    <mergeCell ref="C6:D6"/>
    <mergeCell ref="B9:B10"/>
    <mergeCell ref="C9:D9"/>
    <mergeCell ref="A11:A13"/>
    <mergeCell ref="B11:D11"/>
    <mergeCell ref="B12:B13"/>
    <mergeCell ref="C12:D12"/>
    <mergeCell ref="A14:D14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1"/>
  <sheetViews>
    <sheetView view="pageBreakPreview" zoomScaleSheetLayoutView="100" zoomScalePageLayoutView="0" workbookViewId="0" topLeftCell="A31">
      <selection activeCell="C1" sqref="C1:F1"/>
    </sheetView>
  </sheetViews>
  <sheetFormatPr defaultColWidth="9.140625" defaultRowHeight="15"/>
  <cols>
    <col min="1" max="1" width="4.57421875" style="291" customWidth="1"/>
    <col min="2" max="2" width="45.57421875" style="291" customWidth="1"/>
    <col min="3" max="3" width="9.28125" style="291" customWidth="1"/>
    <col min="4" max="4" width="10.8515625" style="291" customWidth="1"/>
    <col min="5" max="6" width="13.28125" style="291" customWidth="1"/>
    <col min="7" max="16384" width="9.140625" style="291" customWidth="1"/>
  </cols>
  <sheetData>
    <row r="1" spans="1:6" ht="81.75" customHeight="1">
      <c r="A1" s="289"/>
      <c r="B1" s="290"/>
      <c r="C1" s="469" t="s">
        <v>518</v>
      </c>
      <c r="D1" s="469"/>
      <c r="E1" s="469"/>
      <c r="F1" s="469"/>
    </row>
    <row r="2" spans="1:6" ht="46.5" customHeight="1">
      <c r="A2" s="470" t="s">
        <v>464</v>
      </c>
      <c r="B2" s="470"/>
      <c r="C2" s="470"/>
      <c r="D2" s="470"/>
      <c r="E2" s="470"/>
      <c r="F2" s="470"/>
    </row>
    <row r="3" spans="1:6" ht="15">
      <c r="A3" s="292"/>
      <c r="B3" s="293"/>
      <c r="C3" s="293"/>
      <c r="D3" s="293"/>
      <c r="E3" s="292"/>
      <c r="F3" s="294" t="s">
        <v>59</v>
      </c>
    </row>
    <row r="4" spans="1:6" ht="28.5" customHeight="1">
      <c r="A4" s="295" t="s">
        <v>281</v>
      </c>
      <c r="B4" s="296" t="s">
        <v>465</v>
      </c>
      <c r="C4" s="296" t="s">
        <v>60</v>
      </c>
      <c r="D4" s="296" t="s">
        <v>176</v>
      </c>
      <c r="E4" s="295" t="s">
        <v>466</v>
      </c>
      <c r="F4" s="295" t="s">
        <v>467</v>
      </c>
    </row>
    <row r="5" spans="1:6" ht="12" customHeight="1">
      <c r="A5" s="297" t="s">
        <v>4</v>
      </c>
      <c r="B5" s="298" t="s">
        <v>3</v>
      </c>
      <c r="C5" s="298" t="s">
        <v>468</v>
      </c>
      <c r="D5" s="298" t="s">
        <v>2</v>
      </c>
      <c r="E5" s="299" t="s">
        <v>1</v>
      </c>
      <c r="F5" s="299" t="s">
        <v>0</v>
      </c>
    </row>
    <row r="6" spans="1:6" ht="30" customHeight="1">
      <c r="A6" s="300">
        <v>1</v>
      </c>
      <c r="B6" s="301" t="s">
        <v>469</v>
      </c>
      <c r="C6" s="302">
        <v>801</v>
      </c>
      <c r="D6" s="302">
        <v>80102</v>
      </c>
      <c r="E6" s="303">
        <v>50</v>
      </c>
      <c r="F6" s="303">
        <v>50</v>
      </c>
    </row>
    <row r="7" spans="1:6" ht="15.75" customHeight="1">
      <c r="A7" s="300">
        <v>2</v>
      </c>
      <c r="B7" s="301" t="s">
        <v>470</v>
      </c>
      <c r="C7" s="302">
        <v>801</v>
      </c>
      <c r="D7" s="302">
        <v>80102</v>
      </c>
      <c r="E7" s="303">
        <v>50</v>
      </c>
      <c r="F7" s="303">
        <v>50</v>
      </c>
    </row>
    <row r="8" spans="1:6" ht="15.75" customHeight="1">
      <c r="A8" s="471">
        <v>3</v>
      </c>
      <c r="B8" s="472" t="s">
        <v>471</v>
      </c>
      <c r="C8" s="302">
        <v>801</v>
      </c>
      <c r="D8" s="302">
        <v>80130</v>
      </c>
      <c r="E8" s="303">
        <v>20200</v>
      </c>
      <c r="F8" s="303">
        <v>20200</v>
      </c>
    </row>
    <row r="9" spans="1:6" ht="15.75" customHeight="1">
      <c r="A9" s="471"/>
      <c r="B9" s="472"/>
      <c r="C9" s="304">
        <v>854</v>
      </c>
      <c r="D9" s="304">
        <v>85410</v>
      </c>
      <c r="E9" s="303">
        <v>61200</v>
      </c>
      <c r="F9" s="303">
        <v>61200</v>
      </c>
    </row>
    <row r="10" spans="1:6" ht="15.75" customHeight="1">
      <c r="A10" s="300">
        <v>4</v>
      </c>
      <c r="B10" s="305" t="s">
        <v>472</v>
      </c>
      <c r="C10" s="304">
        <v>801</v>
      </c>
      <c r="D10" s="304">
        <v>80130</v>
      </c>
      <c r="E10" s="303">
        <v>7510</v>
      </c>
      <c r="F10" s="303">
        <v>7510</v>
      </c>
    </row>
    <row r="11" spans="1:6" ht="15.75" customHeight="1">
      <c r="A11" s="300">
        <v>5</v>
      </c>
      <c r="B11" s="305" t="s">
        <v>473</v>
      </c>
      <c r="C11" s="304">
        <v>801</v>
      </c>
      <c r="D11" s="304">
        <v>80130</v>
      </c>
      <c r="E11" s="303">
        <v>3000</v>
      </c>
      <c r="F11" s="303">
        <v>3000</v>
      </c>
    </row>
    <row r="12" spans="1:6" ht="15.75" customHeight="1">
      <c r="A12" s="300">
        <v>6</v>
      </c>
      <c r="B12" s="301" t="s">
        <v>474</v>
      </c>
      <c r="C12" s="304">
        <v>801</v>
      </c>
      <c r="D12" s="304">
        <v>80130</v>
      </c>
      <c r="E12" s="303">
        <v>4200</v>
      </c>
      <c r="F12" s="303">
        <v>4200</v>
      </c>
    </row>
    <row r="13" spans="1:6" ht="15.75" customHeight="1">
      <c r="A13" s="300">
        <v>7</v>
      </c>
      <c r="B13" s="301" t="s">
        <v>475</v>
      </c>
      <c r="C13" s="304">
        <v>801</v>
      </c>
      <c r="D13" s="304">
        <v>80130</v>
      </c>
      <c r="E13" s="303">
        <v>38500</v>
      </c>
      <c r="F13" s="303">
        <v>38500</v>
      </c>
    </row>
    <row r="14" spans="1:6" ht="15.75" customHeight="1">
      <c r="A14" s="300">
        <v>8</v>
      </c>
      <c r="B14" s="305" t="s">
        <v>476</v>
      </c>
      <c r="C14" s="304">
        <v>801</v>
      </c>
      <c r="D14" s="304">
        <v>80130</v>
      </c>
      <c r="E14" s="303">
        <v>2310</v>
      </c>
      <c r="F14" s="303">
        <v>2310</v>
      </c>
    </row>
    <row r="15" spans="1:6" ht="15.75" customHeight="1">
      <c r="A15" s="471">
        <v>9</v>
      </c>
      <c r="B15" s="472" t="s">
        <v>477</v>
      </c>
      <c r="C15" s="304">
        <v>801</v>
      </c>
      <c r="D15" s="304">
        <v>80130</v>
      </c>
      <c r="E15" s="303">
        <v>294945</v>
      </c>
      <c r="F15" s="303">
        <v>294945</v>
      </c>
    </row>
    <row r="16" spans="1:6" ht="15.75" customHeight="1">
      <c r="A16" s="471"/>
      <c r="B16" s="472"/>
      <c r="C16" s="304">
        <v>854</v>
      </c>
      <c r="D16" s="304">
        <v>85410</v>
      </c>
      <c r="E16" s="303">
        <v>136020</v>
      </c>
      <c r="F16" s="303">
        <v>136020</v>
      </c>
    </row>
    <row r="17" spans="1:6" ht="31.5" customHeight="1">
      <c r="A17" s="300">
        <v>10</v>
      </c>
      <c r="B17" s="301" t="s">
        <v>478</v>
      </c>
      <c r="C17" s="302">
        <v>801</v>
      </c>
      <c r="D17" s="302">
        <v>80131</v>
      </c>
      <c r="E17" s="303">
        <v>200000</v>
      </c>
      <c r="F17" s="303">
        <v>200000</v>
      </c>
    </row>
    <row r="18" spans="1:6" ht="15.75" customHeight="1">
      <c r="A18" s="300">
        <v>11</v>
      </c>
      <c r="B18" s="305" t="s">
        <v>479</v>
      </c>
      <c r="C18" s="304">
        <v>801</v>
      </c>
      <c r="D18" s="304">
        <v>80141</v>
      </c>
      <c r="E18" s="303">
        <v>52000</v>
      </c>
      <c r="F18" s="303">
        <v>52000</v>
      </c>
    </row>
    <row r="19" spans="1:6" ht="15.75" customHeight="1">
      <c r="A19" s="300">
        <v>12</v>
      </c>
      <c r="B19" s="301" t="s">
        <v>480</v>
      </c>
      <c r="C19" s="304">
        <v>801</v>
      </c>
      <c r="D19" s="304">
        <v>80141</v>
      </c>
      <c r="E19" s="303">
        <v>15500</v>
      </c>
      <c r="F19" s="303">
        <v>15500</v>
      </c>
    </row>
    <row r="20" spans="1:6" ht="15.75" customHeight="1">
      <c r="A20" s="300">
        <v>13</v>
      </c>
      <c r="B20" s="301" t="s">
        <v>481</v>
      </c>
      <c r="C20" s="304">
        <v>801</v>
      </c>
      <c r="D20" s="304">
        <v>80141</v>
      </c>
      <c r="E20" s="303">
        <v>17170</v>
      </c>
      <c r="F20" s="303">
        <v>17170</v>
      </c>
    </row>
    <row r="21" spans="1:6" ht="28.5" customHeight="1">
      <c r="A21" s="300">
        <v>14</v>
      </c>
      <c r="B21" s="301" t="s">
        <v>482</v>
      </c>
      <c r="C21" s="304">
        <v>801</v>
      </c>
      <c r="D21" s="304">
        <v>80141</v>
      </c>
      <c r="E21" s="303">
        <v>15000</v>
      </c>
      <c r="F21" s="303">
        <v>15000</v>
      </c>
    </row>
    <row r="22" spans="1:6" ht="15.75" customHeight="1">
      <c r="A22" s="300">
        <v>15</v>
      </c>
      <c r="B22" s="305" t="s">
        <v>483</v>
      </c>
      <c r="C22" s="304">
        <v>801</v>
      </c>
      <c r="D22" s="304">
        <v>80141</v>
      </c>
      <c r="E22" s="303">
        <v>14060</v>
      </c>
      <c r="F22" s="303">
        <v>14060</v>
      </c>
    </row>
    <row r="23" spans="1:6" ht="31.5" customHeight="1">
      <c r="A23" s="300">
        <v>16</v>
      </c>
      <c r="B23" s="301" t="s">
        <v>484</v>
      </c>
      <c r="C23" s="302">
        <v>801</v>
      </c>
      <c r="D23" s="302">
        <v>80141</v>
      </c>
      <c r="E23" s="303">
        <v>200000</v>
      </c>
      <c r="F23" s="303">
        <v>200000</v>
      </c>
    </row>
    <row r="24" spans="1:6" ht="31.5" customHeight="1">
      <c r="A24" s="300">
        <v>17</v>
      </c>
      <c r="B24" s="301" t="s">
        <v>485</v>
      </c>
      <c r="C24" s="302">
        <v>801</v>
      </c>
      <c r="D24" s="302">
        <v>80141</v>
      </c>
      <c r="E24" s="303">
        <v>153500</v>
      </c>
      <c r="F24" s="303">
        <v>153500</v>
      </c>
    </row>
    <row r="25" spans="1:6" ht="15.75" customHeight="1">
      <c r="A25" s="300">
        <v>18</v>
      </c>
      <c r="B25" s="301" t="s">
        <v>486</v>
      </c>
      <c r="C25" s="302">
        <v>801</v>
      </c>
      <c r="D25" s="302">
        <v>80141</v>
      </c>
      <c r="E25" s="303">
        <v>8650</v>
      </c>
      <c r="F25" s="303">
        <v>8650</v>
      </c>
    </row>
    <row r="26" spans="1:6" ht="15.75" customHeight="1">
      <c r="A26" s="300">
        <v>19</v>
      </c>
      <c r="B26" s="301" t="s">
        <v>487</v>
      </c>
      <c r="C26" s="302">
        <v>801</v>
      </c>
      <c r="D26" s="302">
        <v>80141</v>
      </c>
      <c r="E26" s="303">
        <v>2805</v>
      </c>
      <c r="F26" s="303">
        <v>2805</v>
      </c>
    </row>
    <row r="27" spans="1:6" ht="31.5" customHeight="1">
      <c r="A27" s="300">
        <v>20</v>
      </c>
      <c r="B27" s="301" t="s">
        <v>488</v>
      </c>
      <c r="C27" s="302">
        <v>801</v>
      </c>
      <c r="D27" s="302">
        <v>80141</v>
      </c>
      <c r="E27" s="303">
        <v>18000</v>
      </c>
      <c r="F27" s="303">
        <v>18000</v>
      </c>
    </row>
    <row r="28" spans="1:6" ht="31.5" customHeight="1">
      <c r="A28" s="300">
        <v>21</v>
      </c>
      <c r="B28" s="301" t="s">
        <v>489</v>
      </c>
      <c r="C28" s="302">
        <v>801</v>
      </c>
      <c r="D28" s="302">
        <v>80146</v>
      </c>
      <c r="E28" s="303">
        <v>3000000</v>
      </c>
      <c r="F28" s="303">
        <v>3000000</v>
      </c>
    </row>
    <row r="29" spans="1:6" ht="31.5" customHeight="1">
      <c r="A29" s="300">
        <v>22</v>
      </c>
      <c r="B29" s="301" t="s">
        <v>490</v>
      </c>
      <c r="C29" s="304">
        <v>801</v>
      </c>
      <c r="D29" s="304">
        <v>80147</v>
      </c>
      <c r="E29" s="303">
        <v>46000</v>
      </c>
      <c r="F29" s="303">
        <v>46000</v>
      </c>
    </row>
    <row r="30" spans="1:6" ht="15.75" customHeight="1">
      <c r="A30" s="300">
        <v>23</v>
      </c>
      <c r="B30" s="305" t="s">
        <v>491</v>
      </c>
      <c r="C30" s="304">
        <v>801</v>
      </c>
      <c r="D30" s="304">
        <v>80147</v>
      </c>
      <c r="E30" s="303">
        <v>35200</v>
      </c>
      <c r="F30" s="303">
        <v>35200</v>
      </c>
    </row>
    <row r="31" spans="1:6" ht="15.75" customHeight="1">
      <c r="A31" s="300">
        <v>24</v>
      </c>
      <c r="B31" s="305" t="s">
        <v>492</v>
      </c>
      <c r="C31" s="304">
        <v>801</v>
      </c>
      <c r="D31" s="304">
        <v>80147</v>
      </c>
      <c r="E31" s="303">
        <v>144500</v>
      </c>
      <c r="F31" s="303">
        <v>144500</v>
      </c>
    </row>
    <row r="32" spans="1:8" ht="15.75" customHeight="1">
      <c r="A32" s="300">
        <v>25</v>
      </c>
      <c r="B32" s="305" t="s">
        <v>493</v>
      </c>
      <c r="C32" s="304">
        <v>801</v>
      </c>
      <c r="D32" s="304">
        <v>80147</v>
      </c>
      <c r="E32" s="303">
        <v>85100</v>
      </c>
      <c r="F32" s="303">
        <v>85100</v>
      </c>
      <c r="G32" s="306"/>
      <c r="H32" s="306"/>
    </row>
    <row r="33" spans="1:6" ht="31.5" customHeight="1">
      <c r="A33" s="300">
        <v>26</v>
      </c>
      <c r="B33" s="301" t="s">
        <v>494</v>
      </c>
      <c r="C33" s="302">
        <v>710</v>
      </c>
      <c r="D33" s="302">
        <v>71003</v>
      </c>
      <c r="E33" s="303">
        <v>40000</v>
      </c>
      <c r="F33" s="303">
        <v>40000</v>
      </c>
    </row>
    <row r="34" spans="1:6" ht="31.5" customHeight="1">
      <c r="A34" s="300">
        <v>27</v>
      </c>
      <c r="B34" s="301" t="s">
        <v>495</v>
      </c>
      <c r="C34" s="302">
        <v>600</v>
      </c>
      <c r="D34" s="302">
        <v>60013</v>
      </c>
      <c r="E34" s="303">
        <v>1570000</v>
      </c>
      <c r="F34" s="303">
        <v>1570000</v>
      </c>
    </row>
    <row r="35" spans="1:8" ht="27.75" customHeight="1">
      <c r="A35" s="466" t="s">
        <v>278</v>
      </c>
      <c r="B35" s="467"/>
      <c r="C35" s="467"/>
      <c r="D35" s="468"/>
      <c r="E35" s="307">
        <f>SUM(E6:E34)</f>
        <v>6185470</v>
      </c>
      <c r="F35" s="307">
        <f>SUM(F6:F34)</f>
        <v>6185470</v>
      </c>
      <c r="H35" s="306"/>
    </row>
    <row r="39" ht="15">
      <c r="E39" s="306"/>
    </row>
    <row r="42" ht="15">
      <c r="E42" s="306"/>
    </row>
    <row r="51" ht="15">
      <c r="E51" s="306"/>
    </row>
  </sheetData>
  <sheetProtection/>
  <mergeCells count="7">
    <mergeCell ref="A35:D35"/>
    <mergeCell ref="C1:F1"/>
    <mergeCell ref="A2:F2"/>
    <mergeCell ref="A8:A9"/>
    <mergeCell ref="B8:B9"/>
    <mergeCell ref="A15:A16"/>
    <mergeCell ref="B15:B16"/>
  </mergeCells>
  <printOptions/>
  <pageMargins left="0.7086614173228347" right="0.4724409448818898" top="0.7480314960629921" bottom="0.5118110236220472" header="0.31496062992125984" footer="0.31496062992125984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5"/>
  <cols>
    <col min="1" max="1" width="4.28125" style="311" bestFit="1" customWidth="1"/>
    <col min="2" max="2" width="58.57421875" style="311" customWidth="1"/>
    <col min="3" max="4" width="26.421875" style="311" customWidth="1"/>
    <col min="5" max="16384" width="9.140625" style="311" customWidth="1"/>
  </cols>
  <sheetData>
    <row r="1" spans="1:6" s="310" customFormat="1" ht="71.25" customHeight="1">
      <c r="A1" s="308"/>
      <c r="B1" s="308"/>
      <c r="C1" s="473" t="s">
        <v>519</v>
      </c>
      <c r="D1" s="473"/>
      <c r="E1" s="309"/>
      <c r="F1" s="309"/>
    </row>
    <row r="2" spans="1:4" ht="73.5" customHeight="1">
      <c r="A2" s="474" t="s">
        <v>496</v>
      </c>
      <c r="B2" s="474"/>
      <c r="C2" s="474"/>
      <c r="D2" s="474"/>
    </row>
    <row r="3" spans="1:4" ht="20.25" customHeight="1">
      <c r="A3" s="312"/>
      <c r="B3" s="312"/>
      <c r="C3" s="312"/>
      <c r="D3" s="313" t="s">
        <v>59</v>
      </c>
    </row>
    <row r="4" spans="1:4" s="310" customFormat="1" ht="25.5" customHeight="1">
      <c r="A4" s="314" t="s">
        <v>281</v>
      </c>
      <c r="B4" s="314" t="s">
        <v>497</v>
      </c>
      <c r="C4" s="315" t="s">
        <v>466</v>
      </c>
      <c r="D4" s="315" t="s">
        <v>498</v>
      </c>
    </row>
    <row r="5" spans="1:4" ht="12.75">
      <c r="A5" s="316" t="s">
        <v>4</v>
      </c>
      <c r="B5" s="316" t="s">
        <v>3</v>
      </c>
      <c r="C5" s="316" t="s">
        <v>468</v>
      </c>
      <c r="D5" s="317" t="s">
        <v>2</v>
      </c>
    </row>
    <row r="6" spans="1:4" s="321" customFormat="1" ht="57.75" customHeight="1">
      <c r="A6" s="318">
        <v>1</v>
      </c>
      <c r="B6" s="319" t="s">
        <v>499</v>
      </c>
      <c r="C6" s="320">
        <v>9080000</v>
      </c>
      <c r="D6" s="320">
        <v>9080000</v>
      </c>
    </row>
    <row r="7" spans="1:4" s="321" customFormat="1" ht="57.75" customHeight="1">
      <c r="A7" s="318">
        <v>2</v>
      </c>
      <c r="B7" s="319" t="s">
        <v>500</v>
      </c>
      <c r="C7" s="320">
        <v>1427983</v>
      </c>
      <c r="D7" s="320">
        <v>1427983</v>
      </c>
    </row>
    <row r="8" spans="1:4" s="323" customFormat="1" ht="36.75" customHeight="1">
      <c r="A8" s="475" t="s">
        <v>278</v>
      </c>
      <c r="B8" s="475"/>
      <c r="C8" s="322">
        <f>SUM(C6:C7)</f>
        <v>10507983</v>
      </c>
      <c r="D8" s="322">
        <f>SUM(D6:D7)</f>
        <v>10507983</v>
      </c>
    </row>
  </sheetData>
  <sheetProtection/>
  <mergeCells count="3">
    <mergeCell ref="C1:D1"/>
    <mergeCell ref="A2:D2"/>
    <mergeCell ref="A8:B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="110" zoomScaleSheetLayoutView="110" zoomScalePageLayoutView="0" workbookViewId="0" topLeftCell="A11">
      <selection activeCell="F3" sqref="F3"/>
    </sheetView>
  </sheetViews>
  <sheetFormatPr defaultColWidth="9.140625" defaultRowHeight="15"/>
  <cols>
    <col min="1" max="1" width="4.28125" style="311" bestFit="1" customWidth="1"/>
    <col min="2" max="2" width="54.57421875" style="311" bestFit="1" customWidth="1"/>
    <col min="3" max="3" width="10.421875" style="311" bestFit="1" customWidth="1"/>
    <col min="4" max="4" width="12.57421875" style="311" customWidth="1"/>
    <col min="5" max="5" width="10.28125" style="311" bestFit="1" customWidth="1"/>
    <col min="6" max="6" width="11.421875" style="311" customWidth="1"/>
    <col min="7" max="7" width="9.140625" style="311" customWidth="1"/>
    <col min="8" max="8" width="14.00390625" style="311" bestFit="1" customWidth="1"/>
    <col min="9" max="16384" width="9.140625" style="311" customWidth="1"/>
  </cols>
  <sheetData>
    <row r="1" spans="1:7" s="310" customFormat="1" ht="75" customHeight="1">
      <c r="A1" s="308"/>
      <c r="B1" s="308"/>
      <c r="C1" s="473" t="s">
        <v>520</v>
      </c>
      <c r="D1" s="473"/>
      <c r="E1" s="473"/>
      <c r="F1" s="473"/>
      <c r="G1" s="309"/>
    </row>
    <row r="2" spans="1:6" ht="69" customHeight="1">
      <c r="A2" s="474" t="s">
        <v>501</v>
      </c>
      <c r="B2" s="474"/>
      <c r="C2" s="474"/>
      <c r="D2" s="474"/>
      <c r="E2" s="474"/>
      <c r="F2" s="474"/>
    </row>
    <row r="3" spans="1:6" ht="20.25" customHeight="1">
      <c r="A3" s="312"/>
      <c r="B3" s="312"/>
      <c r="C3" s="312"/>
      <c r="D3" s="312"/>
      <c r="E3" s="313"/>
      <c r="F3" s="313" t="s">
        <v>59</v>
      </c>
    </row>
    <row r="4" spans="1:6" s="310" customFormat="1" ht="51">
      <c r="A4" s="314" t="s">
        <v>281</v>
      </c>
      <c r="B4" s="314" t="s">
        <v>497</v>
      </c>
      <c r="C4" s="315" t="s">
        <v>466</v>
      </c>
      <c r="D4" s="315" t="s">
        <v>502</v>
      </c>
      <c r="E4" s="315" t="s">
        <v>467</v>
      </c>
      <c r="F4" s="315" t="s">
        <v>503</v>
      </c>
    </row>
    <row r="5" spans="1:6" ht="12.75">
      <c r="A5" s="316" t="s">
        <v>4</v>
      </c>
      <c r="B5" s="316" t="s">
        <v>3</v>
      </c>
      <c r="C5" s="316" t="s">
        <v>468</v>
      </c>
      <c r="D5" s="316" t="s">
        <v>2</v>
      </c>
      <c r="E5" s="317" t="s">
        <v>1</v>
      </c>
      <c r="F5" s="317" t="s">
        <v>0</v>
      </c>
    </row>
    <row r="6" spans="1:8" s="321" customFormat="1" ht="57.75" customHeight="1">
      <c r="A6" s="318">
        <v>1</v>
      </c>
      <c r="B6" s="319" t="s">
        <v>504</v>
      </c>
      <c r="C6" s="320">
        <v>7520000</v>
      </c>
      <c r="D6" s="320">
        <v>3864928</v>
      </c>
      <c r="E6" s="320">
        <v>9384928</v>
      </c>
      <c r="F6" s="320">
        <v>2000000</v>
      </c>
      <c r="H6" s="324"/>
    </row>
    <row r="7" spans="1:8" s="321" customFormat="1" ht="57.75" customHeight="1">
      <c r="A7" s="318">
        <v>2</v>
      </c>
      <c r="B7" s="319" t="s">
        <v>505</v>
      </c>
      <c r="C7" s="320">
        <v>3478000</v>
      </c>
      <c r="D7" s="320">
        <v>4000000</v>
      </c>
      <c r="E7" s="320">
        <v>7058000</v>
      </c>
      <c r="F7" s="320">
        <v>420000</v>
      </c>
      <c r="H7" s="324"/>
    </row>
    <row r="8" spans="1:8" s="323" customFormat="1" ht="36.75" customHeight="1">
      <c r="A8" s="475" t="s">
        <v>278</v>
      </c>
      <c r="B8" s="475"/>
      <c r="C8" s="322">
        <f>SUM(C6:C7)</f>
        <v>10998000</v>
      </c>
      <c r="D8" s="322">
        <f>SUM(D6:D7)</f>
        <v>7864928</v>
      </c>
      <c r="E8" s="322">
        <f>SUM(E6:E7)</f>
        <v>16442928</v>
      </c>
      <c r="F8" s="322">
        <f>SUM(F6:F7)</f>
        <v>2420000</v>
      </c>
      <c r="H8" s="325"/>
    </row>
    <row r="10" spans="4:6" ht="12.75">
      <c r="D10" s="326"/>
      <c r="F10" s="326"/>
    </row>
  </sheetData>
  <sheetProtection/>
  <mergeCells count="3">
    <mergeCell ref="C1:F1"/>
    <mergeCell ref="A2:F2"/>
    <mergeCell ref="A8:B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57"/>
  <sheetViews>
    <sheetView view="pageBreakPreview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4.28125" style="0" customWidth="1"/>
    <col min="2" max="2" width="26.421875" style="0" customWidth="1"/>
    <col min="3" max="9" width="9.140625" style="0" bestFit="1" customWidth="1"/>
    <col min="13" max="13" width="9.421875" style="0" customWidth="1"/>
  </cols>
  <sheetData>
    <row r="1" spans="1:9" ht="15">
      <c r="A1" s="476"/>
      <c r="B1" s="476"/>
      <c r="C1" s="476"/>
      <c r="D1" s="476"/>
      <c r="E1" s="476"/>
      <c r="F1" s="476"/>
      <c r="G1" s="476"/>
      <c r="H1" s="476"/>
      <c r="I1" s="476"/>
    </row>
    <row r="2" spans="1:17" ht="93.75" customHeight="1">
      <c r="A2" s="477"/>
      <c r="B2" s="477"/>
      <c r="C2" s="477"/>
      <c r="D2" s="477"/>
      <c r="E2" s="477"/>
      <c r="F2" s="478" t="s">
        <v>521</v>
      </c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</row>
    <row r="3" spans="1:17" ht="33" customHeight="1">
      <c r="A3" s="331"/>
      <c r="B3" s="331"/>
      <c r="C3" s="331"/>
      <c r="D3" s="331"/>
      <c r="E3" s="33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6.25" customHeight="1">
      <c r="A4" s="479" t="s">
        <v>56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</row>
    <row r="5" spans="1:17" ht="12.75" customHeight="1" thickBo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8" ht="15.75" thickBot="1">
      <c r="A6" s="480"/>
      <c r="B6" s="481" t="s">
        <v>5</v>
      </c>
      <c r="C6" s="482" t="s">
        <v>54</v>
      </c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</row>
    <row r="7" spans="1:18" ht="15.75" thickBot="1">
      <c r="A7" s="480"/>
      <c r="B7" s="481"/>
      <c r="C7" s="332">
        <v>2010</v>
      </c>
      <c r="D7" s="332">
        <v>2011</v>
      </c>
      <c r="E7" s="332">
        <v>2012</v>
      </c>
      <c r="F7" s="332">
        <v>2013</v>
      </c>
      <c r="G7" s="332">
        <v>2014</v>
      </c>
      <c r="H7" s="332">
        <v>2015</v>
      </c>
      <c r="I7" s="332">
        <v>2016</v>
      </c>
      <c r="J7" s="332">
        <v>2017</v>
      </c>
      <c r="K7" s="332">
        <v>2018</v>
      </c>
      <c r="L7" s="332">
        <v>2019</v>
      </c>
      <c r="M7" s="332">
        <v>2020</v>
      </c>
      <c r="N7" s="332">
        <v>2021</v>
      </c>
      <c r="O7" s="332">
        <v>2022</v>
      </c>
      <c r="P7" s="332">
        <v>2023</v>
      </c>
      <c r="Q7" s="332">
        <v>2024</v>
      </c>
      <c r="R7" s="332">
        <v>2025</v>
      </c>
    </row>
    <row r="8" spans="1:18" ht="15.75" thickBot="1">
      <c r="A8" s="48" t="s">
        <v>6</v>
      </c>
      <c r="B8" s="42" t="s">
        <v>7</v>
      </c>
      <c r="C8" s="5">
        <f aca="true" t="shared" si="0" ref="C8:R8">C9+C17</f>
        <v>752407.8</v>
      </c>
      <c r="D8" s="5">
        <f t="shared" si="0"/>
        <v>541085</v>
      </c>
      <c r="E8" s="5">
        <f t="shared" si="0"/>
        <v>551887</v>
      </c>
      <c r="F8" s="5">
        <f t="shared" si="0"/>
        <v>564000</v>
      </c>
      <c r="G8" s="5">
        <f t="shared" si="0"/>
        <v>575030</v>
      </c>
      <c r="H8" s="5">
        <f t="shared" si="0"/>
        <v>586280</v>
      </c>
      <c r="I8" s="5">
        <f t="shared" si="0"/>
        <v>597755</v>
      </c>
      <c r="J8" s="5">
        <f t="shared" si="0"/>
        <v>607961</v>
      </c>
      <c r="K8" s="5">
        <f t="shared" si="0"/>
        <v>618900</v>
      </c>
      <c r="L8" s="5">
        <f t="shared" si="0"/>
        <v>630079</v>
      </c>
      <c r="M8" s="5">
        <f t="shared" si="0"/>
        <v>642500</v>
      </c>
      <c r="N8" s="5">
        <f t="shared" si="0"/>
        <v>655370</v>
      </c>
      <c r="O8" s="5">
        <f t="shared" si="0"/>
        <v>668293</v>
      </c>
      <c r="P8" s="5">
        <f t="shared" si="0"/>
        <v>681976</v>
      </c>
      <c r="Q8" s="5">
        <f t="shared" si="0"/>
        <v>695520</v>
      </c>
      <c r="R8" s="5">
        <f t="shared" si="0"/>
        <v>709233</v>
      </c>
    </row>
    <row r="9" spans="1:18" ht="15.75" thickBot="1">
      <c r="A9" s="49" t="s">
        <v>18</v>
      </c>
      <c r="B9" s="43" t="s">
        <v>40</v>
      </c>
      <c r="C9" s="13">
        <f aca="true" t="shared" si="1" ref="C9:R9">SUM(C10:C16)</f>
        <v>601082.6</v>
      </c>
      <c r="D9" s="13">
        <f t="shared" si="1"/>
        <v>528801</v>
      </c>
      <c r="E9" s="13">
        <f t="shared" si="1"/>
        <v>539257</v>
      </c>
      <c r="F9" s="13">
        <f t="shared" si="1"/>
        <v>551422</v>
      </c>
      <c r="G9" s="13">
        <f t="shared" si="1"/>
        <v>562300</v>
      </c>
      <c r="H9" s="13">
        <f t="shared" si="1"/>
        <v>573396</v>
      </c>
      <c r="I9" s="13">
        <f t="shared" si="1"/>
        <v>584713</v>
      </c>
      <c r="J9" s="13">
        <f t="shared" si="1"/>
        <v>596758</v>
      </c>
      <c r="K9" s="13">
        <f t="shared" si="1"/>
        <v>608533</v>
      </c>
      <c r="L9" s="13">
        <f t="shared" si="1"/>
        <v>620545</v>
      </c>
      <c r="M9" s="13">
        <f t="shared" si="1"/>
        <v>632795</v>
      </c>
      <c r="N9" s="13">
        <f t="shared" si="1"/>
        <v>645491</v>
      </c>
      <c r="O9" s="13">
        <f t="shared" si="1"/>
        <v>658236</v>
      </c>
      <c r="P9" s="13">
        <f t="shared" si="1"/>
        <v>671738</v>
      </c>
      <c r="Q9" s="13">
        <f t="shared" si="1"/>
        <v>685098</v>
      </c>
      <c r="R9" s="13">
        <f t="shared" si="1"/>
        <v>698623</v>
      </c>
    </row>
    <row r="10" spans="1:18" ht="22.5">
      <c r="A10" s="15" t="s">
        <v>4</v>
      </c>
      <c r="B10" s="18" t="s">
        <v>13</v>
      </c>
      <c r="C10" s="19">
        <v>62714.6</v>
      </c>
      <c r="D10" s="19">
        <v>55022</v>
      </c>
      <c r="E10" s="19">
        <v>56122</v>
      </c>
      <c r="F10" s="19">
        <v>57244</v>
      </c>
      <c r="G10" s="19">
        <v>58389</v>
      </c>
      <c r="H10" s="19">
        <v>59557</v>
      </c>
      <c r="I10" s="19">
        <v>60748</v>
      </c>
      <c r="J10" s="19">
        <v>61963</v>
      </c>
      <c r="K10" s="19">
        <v>63202</v>
      </c>
      <c r="L10" s="19">
        <v>64467</v>
      </c>
      <c r="M10" s="19">
        <v>65756</v>
      </c>
      <c r="N10" s="19">
        <v>67071</v>
      </c>
      <c r="O10" s="19">
        <v>68412</v>
      </c>
      <c r="P10" s="19">
        <v>69781</v>
      </c>
      <c r="Q10" s="19">
        <v>71176</v>
      </c>
      <c r="R10" s="33">
        <v>72599</v>
      </c>
    </row>
    <row r="11" spans="1:18" ht="15">
      <c r="A11" s="15" t="s">
        <v>3</v>
      </c>
      <c r="B11" s="14" t="s">
        <v>14</v>
      </c>
      <c r="C11" s="10">
        <v>3781.2</v>
      </c>
      <c r="D11" s="10">
        <v>2000</v>
      </c>
      <c r="E11" s="10">
        <v>2000</v>
      </c>
      <c r="F11" s="10">
        <v>3000</v>
      </c>
      <c r="G11" s="10">
        <v>3000</v>
      </c>
      <c r="H11" s="10">
        <v>3000</v>
      </c>
      <c r="I11" s="10">
        <v>3000</v>
      </c>
      <c r="J11" s="10">
        <v>3000</v>
      </c>
      <c r="K11" s="10">
        <v>3000</v>
      </c>
      <c r="L11" s="10">
        <v>3000</v>
      </c>
      <c r="M11" s="10">
        <v>3000</v>
      </c>
      <c r="N11" s="10">
        <v>3000</v>
      </c>
      <c r="O11" s="10">
        <v>3000</v>
      </c>
      <c r="P11" s="10">
        <v>3500</v>
      </c>
      <c r="Q11" s="10">
        <v>3500</v>
      </c>
      <c r="R11" s="9">
        <v>3500</v>
      </c>
    </row>
    <row r="12" spans="1:18" ht="15">
      <c r="A12" s="15" t="s">
        <v>2</v>
      </c>
      <c r="B12" s="14" t="s">
        <v>15</v>
      </c>
      <c r="C12" s="10">
        <v>21910.1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9">
        <v>0</v>
      </c>
    </row>
    <row r="13" spans="1:18" ht="45">
      <c r="A13" s="15" t="s">
        <v>1</v>
      </c>
      <c r="B13" s="14" t="s">
        <v>55</v>
      </c>
      <c r="C13" s="10">
        <v>34661.7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">
        <v>0</v>
      </c>
    </row>
    <row r="14" spans="1:18" ht="33.75">
      <c r="A14" s="15" t="s">
        <v>0</v>
      </c>
      <c r="B14" s="14" t="s">
        <v>51</v>
      </c>
      <c r="C14" s="8">
        <v>329561.6</v>
      </c>
      <c r="D14" s="8">
        <v>320000</v>
      </c>
      <c r="E14" s="8">
        <v>326400</v>
      </c>
      <c r="F14" s="8">
        <v>332928</v>
      </c>
      <c r="G14" s="8">
        <v>339586</v>
      </c>
      <c r="H14" s="8">
        <v>346378</v>
      </c>
      <c r="I14" s="8">
        <v>353305</v>
      </c>
      <c r="J14" s="10">
        <v>360371</v>
      </c>
      <c r="K14" s="10">
        <v>367579</v>
      </c>
      <c r="L14" s="10">
        <v>374931</v>
      </c>
      <c r="M14" s="10">
        <v>382429</v>
      </c>
      <c r="N14" s="10">
        <v>390078</v>
      </c>
      <c r="O14" s="10">
        <v>397879</v>
      </c>
      <c r="P14" s="10">
        <v>405837</v>
      </c>
      <c r="Q14" s="10">
        <v>413954</v>
      </c>
      <c r="R14" s="9">
        <v>422233</v>
      </c>
    </row>
    <row r="15" spans="1:18" ht="22.5">
      <c r="A15" s="15" t="s">
        <v>50</v>
      </c>
      <c r="B15" s="14" t="s">
        <v>12</v>
      </c>
      <c r="C15" s="8">
        <v>144485.6</v>
      </c>
      <c r="D15" s="8">
        <v>147779</v>
      </c>
      <c r="E15" s="8">
        <v>150735</v>
      </c>
      <c r="F15" s="8">
        <v>153750</v>
      </c>
      <c r="G15" s="8">
        <v>156825</v>
      </c>
      <c r="H15" s="8">
        <v>159961</v>
      </c>
      <c r="I15" s="8">
        <v>163160</v>
      </c>
      <c r="J15" s="10">
        <v>166424</v>
      </c>
      <c r="K15" s="10">
        <v>169752</v>
      </c>
      <c r="L15" s="10">
        <v>173147</v>
      </c>
      <c r="M15" s="10">
        <v>176610</v>
      </c>
      <c r="N15" s="10">
        <v>180142</v>
      </c>
      <c r="O15" s="10">
        <v>183745</v>
      </c>
      <c r="P15" s="10">
        <v>187420</v>
      </c>
      <c r="Q15" s="10">
        <v>191168</v>
      </c>
      <c r="R15" s="9">
        <v>194991</v>
      </c>
    </row>
    <row r="16" spans="1:18" ht="15.75" thickBot="1">
      <c r="A16" s="15" t="s">
        <v>53</v>
      </c>
      <c r="B16" s="20" t="s">
        <v>49</v>
      </c>
      <c r="C16" s="21">
        <v>3967.8</v>
      </c>
      <c r="D16" s="21">
        <v>4000</v>
      </c>
      <c r="E16" s="21">
        <v>4000</v>
      </c>
      <c r="F16" s="21">
        <v>4500</v>
      </c>
      <c r="G16" s="21">
        <v>4500</v>
      </c>
      <c r="H16" s="21">
        <v>4500</v>
      </c>
      <c r="I16" s="21">
        <v>4500</v>
      </c>
      <c r="J16" s="22">
        <v>5000</v>
      </c>
      <c r="K16" s="22">
        <v>5000</v>
      </c>
      <c r="L16" s="22">
        <v>5000</v>
      </c>
      <c r="M16" s="22">
        <v>5000</v>
      </c>
      <c r="N16" s="22">
        <v>5200</v>
      </c>
      <c r="O16" s="22">
        <v>5200</v>
      </c>
      <c r="P16" s="22">
        <v>5200</v>
      </c>
      <c r="Q16" s="22">
        <v>5300</v>
      </c>
      <c r="R16" s="34">
        <v>5300</v>
      </c>
    </row>
    <row r="17" spans="1:18" ht="15.75" thickBot="1">
      <c r="A17" s="50" t="s">
        <v>20</v>
      </c>
      <c r="B17" s="44" t="s">
        <v>41</v>
      </c>
      <c r="C17" s="13">
        <f aca="true" t="shared" si="2" ref="C17:R17">SUM(C18:C21)</f>
        <v>151325.2</v>
      </c>
      <c r="D17" s="13">
        <f t="shared" si="2"/>
        <v>12284</v>
      </c>
      <c r="E17" s="13">
        <f t="shared" si="2"/>
        <v>12630</v>
      </c>
      <c r="F17" s="13">
        <f t="shared" si="2"/>
        <v>12578</v>
      </c>
      <c r="G17" s="13">
        <f t="shared" si="2"/>
        <v>12730</v>
      </c>
      <c r="H17" s="13">
        <f t="shared" si="2"/>
        <v>12884</v>
      </c>
      <c r="I17" s="13">
        <f t="shared" si="2"/>
        <v>13042</v>
      </c>
      <c r="J17" s="13">
        <f t="shared" si="2"/>
        <v>11203</v>
      </c>
      <c r="K17" s="13">
        <f t="shared" si="2"/>
        <v>10367</v>
      </c>
      <c r="L17" s="13">
        <f t="shared" si="2"/>
        <v>9534</v>
      </c>
      <c r="M17" s="13">
        <f t="shared" si="2"/>
        <v>9705</v>
      </c>
      <c r="N17" s="13">
        <f t="shared" si="2"/>
        <v>9879</v>
      </c>
      <c r="O17" s="13">
        <f t="shared" si="2"/>
        <v>10057</v>
      </c>
      <c r="P17" s="13">
        <f t="shared" si="2"/>
        <v>10238</v>
      </c>
      <c r="Q17" s="13">
        <f t="shared" si="2"/>
        <v>10422</v>
      </c>
      <c r="R17" s="13">
        <f t="shared" si="2"/>
        <v>10610</v>
      </c>
    </row>
    <row r="18" spans="1:18" ht="15">
      <c r="A18" s="12" t="s">
        <v>9</v>
      </c>
      <c r="B18" s="23" t="s">
        <v>48</v>
      </c>
      <c r="C18" s="19">
        <v>17230</v>
      </c>
      <c r="D18" s="19">
        <v>5000</v>
      </c>
      <c r="E18" s="19">
        <v>5200</v>
      </c>
      <c r="F18" s="19">
        <v>5000</v>
      </c>
      <c r="G18" s="19">
        <v>5000</v>
      </c>
      <c r="H18" s="19">
        <v>5000</v>
      </c>
      <c r="I18" s="19">
        <v>5000</v>
      </c>
      <c r="J18" s="19">
        <v>3000</v>
      </c>
      <c r="K18" s="19">
        <v>2000</v>
      </c>
      <c r="L18" s="19">
        <v>1000</v>
      </c>
      <c r="M18" s="19">
        <v>1000</v>
      </c>
      <c r="N18" s="19">
        <v>1000</v>
      </c>
      <c r="O18" s="19">
        <v>1000</v>
      </c>
      <c r="P18" s="19">
        <v>1000</v>
      </c>
      <c r="Q18" s="19">
        <v>1000</v>
      </c>
      <c r="R18" s="35">
        <v>1000</v>
      </c>
    </row>
    <row r="19" spans="1:18" ht="22.5">
      <c r="A19" s="12" t="s">
        <v>10</v>
      </c>
      <c r="B19" s="3" t="s">
        <v>13</v>
      </c>
      <c r="C19" s="10">
        <v>15453</v>
      </c>
      <c r="D19" s="10">
        <v>7284</v>
      </c>
      <c r="E19" s="10">
        <v>7430</v>
      </c>
      <c r="F19" s="10">
        <v>7578</v>
      </c>
      <c r="G19" s="10">
        <v>7730</v>
      </c>
      <c r="H19" s="10">
        <v>7884</v>
      </c>
      <c r="I19" s="10">
        <v>8042</v>
      </c>
      <c r="J19" s="10">
        <v>8203</v>
      </c>
      <c r="K19" s="10">
        <v>8367</v>
      </c>
      <c r="L19" s="10">
        <v>8534</v>
      </c>
      <c r="M19" s="17">
        <v>8705</v>
      </c>
      <c r="N19" s="10">
        <v>8879</v>
      </c>
      <c r="O19" s="10">
        <v>9057</v>
      </c>
      <c r="P19" s="10">
        <v>9238</v>
      </c>
      <c r="Q19" s="10">
        <v>9422</v>
      </c>
      <c r="R19" s="9">
        <v>9610</v>
      </c>
    </row>
    <row r="20" spans="1:18" ht="45">
      <c r="A20" s="12" t="s">
        <v>42</v>
      </c>
      <c r="B20" s="14" t="s">
        <v>55</v>
      </c>
      <c r="C20" s="10">
        <v>4855.3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v>0</v>
      </c>
    </row>
    <row r="21" spans="1:18" ht="15.75" thickBot="1">
      <c r="A21" s="12" t="s">
        <v>43</v>
      </c>
      <c r="B21" s="24" t="s">
        <v>15</v>
      </c>
      <c r="C21" s="22">
        <v>113786.9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34">
        <v>0</v>
      </c>
    </row>
    <row r="22" spans="1:18" ht="15.75" thickBot="1">
      <c r="A22" s="51" t="s">
        <v>16</v>
      </c>
      <c r="B22" s="45" t="s">
        <v>17</v>
      </c>
      <c r="C22" s="5">
        <f aca="true" t="shared" si="3" ref="C22:R22">SUM(C23:C23)</f>
        <v>175547.8</v>
      </c>
      <c r="D22" s="5">
        <f t="shared" si="3"/>
        <v>0</v>
      </c>
      <c r="E22" s="5">
        <f t="shared" si="3"/>
        <v>0</v>
      </c>
      <c r="F22" s="5">
        <f t="shared" si="3"/>
        <v>0</v>
      </c>
      <c r="G22" s="5">
        <f t="shared" si="3"/>
        <v>0</v>
      </c>
      <c r="H22" s="5">
        <f t="shared" si="3"/>
        <v>0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  <c r="N22" s="5">
        <f t="shared" si="3"/>
        <v>0</v>
      </c>
      <c r="O22" s="5">
        <f t="shared" si="3"/>
        <v>0</v>
      </c>
      <c r="P22" s="5">
        <f t="shared" si="3"/>
        <v>0</v>
      </c>
      <c r="Q22" s="5">
        <f t="shared" si="3"/>
        <v>0</v>
      </c>
      <c r="R22" s="5">
        <f t="shared" si="3"/>
        <v>0</v>
      </c>
    </row>
    <row r="23" spans="1:18" ht="15.75" thickBot="1">
      <c r="A23" s="1" t="s">
        <v>18</v>
      </c>
      <c r="B23" s="27" t="s">
        <v>19</v>
      </c>
      <c r="C23" s="28">
        <v>175547.8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36">
        <v>0</v>
      </c>
    </row>
    <row r="24" spans="1:18" ht="23.25" thickBot="1">
      <c r="A24" s="51" t="s">
        <v>21</v>
      </c>
      <c r="B24" s="45" t="s">
        <v>22</v>
      </c>
      <c r="C24" s="5">
        <f aca="true" t="shared" si="4" ref="C24:R24">SUM(C8,C22)</f>
        <v>927955.6000000001</v>
      </c>
      <c r="D24" s="5">
        <f t="shared" si="4"/>
        <v>541085</v>
      </c>
      <c r="E24" s="5">
        <f t="shared" si="4"/>
        <v>551887</v>
      </c>
      <c r="F24" s="5">
        <f t="shared" si="4"/>
        <v>564000</v>
      </c>
      <c r="G24" s="5">
        <f t="shared" si="4"/>
        <v>575030</v>
      </c>
      <c r="H24" s="5">
        <f t="shared" si="4"/>
        <v>586280</v>
      </c>
      <c r="I24" s="5">
        <f t="shared" si="4"/>
        <v>597755</v>
      </c>
      <c r="J24" s="5">
        <f t="shared" si="4"/>
        <v>607961</v>
      </c>
      <c r="K24" s="5">
        <f t="shared" si="4"/>
        <v>618900</v>
      </c>
      <c r="L24" s="5">
        <f t="shared" si="4"/>
        <v>630079</v>
      </c>
      <c r="M24" s="5">
        <f t="shared" si="4"/>
        <v>642500</v>
      </c>
      <c r="N24" s="5">
        <f t="shared" si="4"/>
        <v>655370</v>
      </c>
      <c r="O24" s="5">
        <f t="shared" si="4"/>
        <v>668293</v>
      </c>
      <c r="P24" s="5">
        <f t="shared" si="4"/>
        <v>681976</v>
      </c>
      <c r="Q24" s="5">
        <f t="shared" si="4"/>
        <v>695520</v>
      </c>
      <c r="R24" s="5">
        <f t="shared" si="4"/>
        <v>709233</v>
      </c>
    </row>
    <row r="25" spans="1:18" ht="15">
      <c r="A25" s="52" t="s">
        <v>23</v>
      </c>
      <c r="B25" s="30" t="s">
        <v>24</v>
      </c>
      <c r="C25" s="31">
        <f aca="true" t="shared" si="5" ref="C25:R25">SUM(C26,C31)</f>
        <v>923380.6</v>
      </c>
      <c r="D25" s="31">
        <f t="shared" si="5"/>
        <v>524806.8</v>
      </c>
      <c r="E25" s="31">
        <f t="shared" si="5"/>
        <v>537808.8</v>
      </c>
      <c r="F25" s="31">
        <f t="shared" si="5"/>
        <v>549921.8</v>
      </c>
      <c r="G25" s="31">
        <f t="shared" si="5"/>
        <v>560951.8</v>
      </c>
      <c r="H25" s="31">
        <f t="shared" si="5"/>
        <v>562201.8</v>
      </c>
      <c r="I25" s="31">
        <f t="shared" si="5"/>
        <v>572051.8</v>
      </c>
      <c r="J25" s="31">
        <f t="shared" si="5"/>
        <v>584257.8</v>
      </c>
      <c r="K25" s="31">
        <f t="shared" si="5"/>
        <v>595196.8</v>
      </c>
      <c r="L25" s="31">
        <f t="shared" si="5"/>
        <v>606375.8</v>
      </c>
      <c r="M25" s="31">
        <f t="shared" si="5"/>
        <v>618796.8</v>
      </c>
      <c r="N25" s="31">
        <f t="shared" si="5"/>
        <v>631666.8</v>
      </c>
      <c r="O25" s="31">
        <f t="shared" si="5"/>
        <v>644589.8</v>
      </c>
      <c r="P25" s="31">
        <f t="shared" si="5"/>
        <v>658272.8</v>
      </c>
      <c r="Q25" s="31">
        <f t="shared" si="5"/>
        <v>671816.8</v>
      </c>
      <c r="R25" s="37">
        <f t="shared" si="5"/>
        <v>697530</v>
      </c>
    </row>
    <row r="26" spans="1:18" ht="15">
      <c r="A26" s="1" t="s">
        <v>8</v>
      </c>
      <c r="B26" s="2" t="s">
        <v>25</v>
      </c>
      <c r="C26" s="8">
        <v>468537.8</v>
      </c>
      <c r="D26" s="8">
        <f>369904-25703+20000</f>
        <v>364201</v>
      </c>
      <c r="E26" s="8">
        <f>377302-23537+20000</f>
        <v>373765</v>
      </c>
      <c r="F26" s="8">
        <f>384848-19828+20000</f>
        <v>385020</v>
      </c>
      <c r="G26" s="8">
        <f>392545-17574+20000</f>
        <v>394971</v>
      </c>
      <c r="H26" s="8">
        <f>400396-15276+20000</f>
        <v>405120</v>
      </c>
      <c r="I26" s="8">
        <f>408404-12932+20000</f>
        <v>415472</v>
      </c>
      <c r="J26" s="10">
        <f>416572+20000</f>
        <v>436572</v>
      </c>
      <c r="K26" s="10">
        <f>424903+20000</f>
        <v>444903</v>
      </c>
      <c r="L26" s="10">
        <f>433401+20000</f>
        <v>453401</v>
      </c>
      <c r="M26" s="10">
        <f>442069+20000</f>
        <v>462069</v>
      </c>
      <c r="N26" s="10">
        <f>450911+20000</f>
        <v>470911</v>
      </c>
      <c r="O26" s="10">
        <f>459929+20000</f>
        <v>479929</v>
      </c>
      <c r="P26" s="10">
        <f>469127+20000</f>
        <v>489127</v>
      </c>
      <c r="Q26" s="10">
        <f>478510+20000</f>
        <v>498510</v>
      </c>
      <c r="R26" s="9">
        <f>488080+20000</f>
        <v>508080</v>
      </c>
    </row>
    <row r="27" spans="1:18" ht="15">
      <c r="A27" s="1" t="s">
        <v>4</v>
      </c>
      <c r="B27" s="2" t="s">
        <v>26</v>
      </c>
      <c r="C27" s="8">
        <v>7308.8</v>
      </c>
      <c r="D27" s="8">
        <v>7831.7</v>
      </c>
      <c r="E27" s="8">
        <v>8082.6</v>
      </c>
      <c r="F27" s="8">
        <v>7487.5</v>
      </c>
      <c r="G27" s="8">
        <v>6002</v>
      </c>
      <c r="H27" s="8">
        <v>6380.9</v>
      </c>
      <c r="I27" s="8">
        <v>4937</v>
      </c>
      <c r="J27" s="10">
        <v>4960</v>
      </c>
      <c r="K27" s="10">
        <v>4956.2</v>
      </c>
      <c r="L27" s="10">
        <v>4519.9</v>
      </c>
      <c r="M27" s="10">
        <v>4305.5</v>
      </c>
      <c r="N27" s="10">
        <v>4089.4</v>
      </c>
      <c r="O27" s="10">
        <v>3355.7</v>
      </c>
      <c r="P27" s="10">
        <v>141.9</v>
      </c>
      <c r="Q27" s="10">
        <v>0</v>
      </c>
      <c r="R27" s="9">
        <v>0</v>
      </c>
    </row>
    <row r="28" spans="1:18" ht="15">
      <c r="A28" s="1" t="s">
        <v>3</v>
      </c>
      <c r="B28" s="2" t="s">
        <v>47</v>
      </c>
      <c r="C28" s="8">
        <f aca="true" t="shared" si="6" ref="C28:R28">SUM(C29:C30)</f>
        <v>8635</v>
      </c>
      <c r="D28" s="8">
        <f t="shared" si="6"/>
        <v>21401.2</v>
      </c>
      <c r="E28" s="8">
        <f t="shared" si="6"/>
        <v>20365</v>
      </c>
      <c r="F28" s="8">
        <f t="shared" si="6"/>
        <v>19398.8</v>
      </c>
      <c r="G28" s="8">
        <f t="shared" si="6"/>
        <v>18432.6</v>
      </c>
      <c r="H28" s="8">
        <f t="shared" si="6"/>
        <v>17457.4</v>
      </c>
      <c r="I28" s="8">
        <f t="shared" si="6"/>
        <v>15808.2</v>
      </c>
      <c r="J28" s="8">
        <f t="shared" si="6"/>
        <v>14059</v>
      </c>
      <c r="K28" s="8">
        <f t="shared" si="6"/>
        <v>12359.8</v>
      </c>
      <c r="L28" s="8">
        <f t="shared" si="6"/>
        <v>10660.6</v>
      </c>
      <c r="M28" s="8">
        <f t="shared" si="6"/>
        <v>8961.4</v>
      </c>
      <c r="N28" s="8">
        <f t="shared" si="6"/>
        <v>7262.2</v>
      </c>
      <c r="O28" s="8">
        <f t="shared" si="6"/>
        <v>5563</v>
      </c>
      <c r="P28" s="8">
        <f t="shared" si="6"/>
        <v>3863.8</v>
      </c>
      <c r="Q28" s="8">
        <f t="shared" si="6"/>
        <v>2164.6</v>
      </c>
      <c r="R28" s="7">
        <f t="shared" si="6"/>
        <v>465.4</v>
      </c>
    </row>
    <row r="29" spans="1:19" ht="22.5">
      <c r="A29" s="1"/>
      <c r="B29" s="2" t="s">
        <v>57</v>
      </c>
      <c r="C29" s="8">
        <v>50</v>
      </c>
      <c r="D29" s="8">
        <v>12494.2</v>
      </c>
      <c r="E29" s="8">
        <v>11635</v>
      </c>
      <c r="F29" s="8">
        <v>10775.8</v>
      </c>
      <c r="G29" s="8">
        <v>9916.6</v>
      </c>
      <c r="H29" s="8">
        <v>9057.4</v>
      </c>
      <c r="I29" s="8">
        <v>8198.2</v>
      </c>
      <c r="J29" s="10">
        <v>7339</v>
      </c>
      <c r="K29" s="10">
        <v>6479.8</v>
      </c>
      <c r="L29" s="10">
        <v>5620.6</v>
      </c>
      <c r="M29" s="10">
        <v>4761.4</v>
      </c>
      <c r="N29" s="10">
        <v>3902.2</v>
      </c>
      <c r="O29" s="10">
        <v>3043</v>
      </c>
      <c r="P29" s="10">
        <v>2183.8</v>
      </c>
      <c r="Q29" s="10">
        <v>1324.6</v>
      </c>
      <c r="R29" s="38">
        <v>465.4</v>
      </c>
      <c r="S29" s="4"/>
    </row>
    <row r="30" spans="1:19" ht="22.5">
      <c r="A30" s="1"/>
      <c r="B30" s="2" t="s">
        <v>27</v>
      </c>
      <c r="C30" s="8">
        <v>8585</v>
      </c>
      <c r="D30" s="8">
        <v>8907</v>
      </c>
      <c r="E30" s="8">
        <v>8730</v>
      </c>
      <c r="F30" s="8">
        <v>8623</v>
      </c>
      <c r="G30" s="8">
        <v>8516</v>
      </c>
      <c r="H30" s="8">
        <v>8400</v>
      </c>
      <c r="I30" s="8">
        <v>7610</v>
      </c>
      <c r="J30" s="10">
        <v>6720</v>
      </c>
      <c r="K30" s="10">
        <v>5880</v>
      </c>
      <c r="L30" s="10">
        <v>5040</v>
      </c>
      <c r="M30" s="10">
        <v>4200</v>
      </c>
      <c r="N30" s="10">
        <v>3360</v>
      </c>
      <c r="O30" s="10">
        <v>2520</v>
      </c>
      <c r="P30" s="10">
        <v>1680</v>
      </c>
      <c r="Q30" s="10">
        <v>840</v>
      </c>
      <c r="R30" s="9">
        <v>0</v>
      </c>
      <c r="S30" s="4"/>
    </row>
    <row r="31" spans="1:18" ht="15.75" thickBot="1">
      <c r="A31" s="1" t="s">
        <v>11</v>
      </c>
      <c r="B31" s="32" t="s">
        <v>28</v>
      </c>
      <c r="C31" s="21">
        <v>454842.8</v>
      </c>
      <c r="D31" s="21">
        <f>298461-157477.1+1921-6965.7+24600+66.6</f>
        <v>160605.8</v>
      </c>
      <c r="E31" s="21">
        <f>304430-160852.6+1921-7013.3+25492+66.7</f>
        <v>164043.80000000002</v>
      </c>
      <c r="F31" s="21">
        <f>310518-168570.1+1921-5435.7+26402+66.6</f>
        <v>164901.8</v>
      </c>
      <c r="G31" s="21">
        <f>316729-174629.1+1921-5435.8+27329+66.7</f>
        <v>165980.80000000002</v>
      </c>
      <c r="H31" s="21">
        <f>323063-180805.2+1921.1-15439.7+28276+66.6</f>
        <v>157081.80000000002</v>
      </c>
      <c r="I31" s="21">
        <f>329525-188166.2+1921.1-16007.8+29241+66.7</f>
        <v>156579.8</v>
      </c>
      <c r="J31" s="22">
        <f>336115-202929.5+215.4-16007.7+30226+66.6</f>
        <v>147685.80000000002</v>
      </c>
      <c r="K31" s="22">
        <f>342837-208048.5+215.4-16007.8+31231+66.7</f>
        <v>150293.8</v>
      </c>
      <c r="L31" s="22">
        <f>349694-213249.5+215.4-16007.7+32256+66.6</f>
        <v>152974.80000000002</v>
      </c>
      <c r="M31" s="22">
        <f>356688-217535.5+215.4-16007.8+33301+66.7</f>
        <v>156727.8</v>
      </c>
      <c r="N31" s="22">
        <f>363822-221707.5+215.4-16007.7+34367+66.6</f>
        <v>160755.80000000002</v>
      </c>
      <c r="O31" s="22">
        <f>371098-226165.4+215.3-16007.8+35454+66.7</f>
        <v>164660.8</v>
      </c>
      <c r="P31" s="22">
        <f>378520-230211.4+215.3-16007.8+36563+66.7</f>
        <v>169145.80000000002</v>
      </c>
      <c r="Q31" s="22">
        <f>386091-234753.4+215.2-16007.7+37695+66.7</f>
        <v>173306.80000000002</v>
      </c>
      <c r="R31" s="34">
        <f>150534.2+38849+66.8</f>
        <v>189450</v>
      </c>
    </row>
    <row r="32" spans="1:18" ht="15.75" thickBot="1">
      <c r="A32" s="53" t="s">
        <v>29</v>
      </c>
      <c r="B32" s="46" t="s">
        <v>30</v>
      </c>
      <c r="C32" s="11">
        <f aca="true" t="shared" si="7" ref="C32:R32">C8-C25</f>
        <v>-170972.79999999993</v>
      </c>
      <c r="D32" s="11">
        <f t="shared" si="7"/>
        <v>16278.199999999953</v>
      </c>
      <c r="E32" s="11">
        <f t="shared" si="7"/>
        <v>14078.199999999953</v>
      </c>
      <c r="F32" s="11">
        <f t="shared" si="7"/>
        <v>14078.199999999953</v>
      </c>
      <c r="G32" s="11">
        <f t="shared" si="7"/>
        <v>14078.199999999953</v>
      </c>
      <c r="H32" s="11">
        <f t="shared" si="7"/>
        <v>24078.199999999953</v>
      </c>
      <c r="I32" s="11">
        <f t="shared" si="7"/>
        <v>25703.199999999953</v>
      </c>
      <c r="J32" s="11">
        <f t="shared" si="7"/>
        <v>23703.199999999953</v>
      </c>
      <c r="K32" s="11">
        <f t="shared" si="7"/>
        <v>23703.199999999953</v>
      </c>
      <c r="L32" s="11">
        <f t="shared" si="7"/>
        <v>23703.199999999953</v>
      </c>
      <c r="M32" s="11">
        <f t="shared" si="7"/>
        <v>23703.199999999953</v>
      </c>
      <c r="N32" s="11">
        <f t="shared" si="7"/>
        <v>23703.199999999953</v>
      </c>
      <c r="O32" s="11">
        <f t="shared" si="7"/>
        <v>23703.199999999953</v>
      </c>
      <c r="P32" s="11">
        <f t="shared" si="7"/>
        <v>23703.199999999953</v>
      </c>
      <c r="Q32" s="11">
        <f t="shared" si="7"/>
        <v>23703.199999999953</v>
      </c>
      <c r="R32" s="11">
        <f t="shared" si="7"/>
        <v>11703</v>
      </c>
    </row>
    <row r="33" spans="1:18" ht="15.75" thickBot="1">
      <c r="A33" s="51" t="s">
        <v>31</v>
      </c>
      <c r="B33" s="45" t="s">
        <v>32</v>
      </c>
      <c r="C33" s="5">
        <f>SUM(C34)</f>
        <v>4575</v>
      </c>
      <c r="D33" s="5">
        <f aca="true" t="shared" si="8" ref="D33:R33">SUM(D34)</f>
        <v>16278.199999999999</v>
      </c>
      <c r="E33" s="5">
        <f t="shared" si="8"/>
        <v>14078.199999999999</v>
      </c>
      <c r="F33" s="5">
        <f t="shared" si="8"/>
        <v>14078.199999999999</v>
      </c>
      <c r="G33" s="5">
        <f t="shared" si="8"/>
        <v>14078.199999999999</v>
      </c>
      <c r="H33" s="5">
        <f t="shared" si="8"/>
        <v>24078.199999999997</v>
      </c>
      <c r="I33" s="5">
        <f t="shared" si="8"/>
        <v>25703.199999999997</v>
      </c>
      <c r="J33" s="5">
        <f t="shared" si="8"/>
        <v>23703.199999999997</v>
      </c>
      <c r="K33" s="5">
        <f t="shared" si="8"/>
        <v>23703.199999999997</v>
      </c>
      <c r="L33" s="5">
        <f t="shared" si="8"/>
        <v>23703.199999999997</v>
      </c>
      <c r="M33" s="5">
        <f t="shared" si="8"/>
        <v>23703.199999999997</v>
      </c>
      <c r="N33" s="5">
        <f t="shared" si="8"/>
        <v>23703.199999999997</v>
      </c>
      <c r="O33" s="5">
        <f t="shared" si="8"/>
        <v>23703.199999999997</v>
      </c>
      <c r="P33" s="5">
        <f t="shared" si="8"/>
        <v>23703.199999999997</v>
      </c>
      <c r="Q33" s="5">
        <f t="shared" si="8"/>
        <v>23703.199999999997</v>
      </c>
      <c r="R33" s="5">
        <f t="shared" si="8"/>
        <v>11703</v>
      </c>
    </row>
    <row r="34" spans="1:19" ht="22.5">
      <c r="A34" s="1" t="s">
        <v>8</v>
      </c>
      <c r="B34" s="25" t="s">
        <v>33</v>
      </c>
      <c r="C34" s="26">
        <f aca="true" t="shared" si="9" ref="C34:R34">SUM(C35:C36)</f>
        <v>4575</v>
      </c>
      <c r="D34" s="26">
        <f t="shared" si="9"/>
        <v>16278.199999999999</v>
      </c>
      <c r="E34" s="26">
        <f t="shared" si="9"/>
        <v>14078.199999999999</v>
      </c>
      <c r="F34" s="26">
        <f t="shared" si="9"/>
        <v>14078.199999999999</v>
      </c>
      <c r="G34" s="26">
        <f t="shared" si="9"/>
        <v>14078.199999999999</v>
      </c>
      <c r="H34" s="26">
        <f t="shared" si="9"/>
        <v>24078.199999999997</v>
      </c>
      <c r="I34" s="26">
        <f t="shared" si="9"/>
        <v>25703.199999999997</v>
      </c>
      <c r="J34" s="26">
        <f t="shared" si="9"/>
        <v>23703.199999999997</v>
      </c>
      <c r="K34" s="26">
        <f t="shared" si="9"/>
        <v>23703.199999999997</v>
      </c>
      <c r="L34" s="26">
        <f t="shared" si="9"/>
        <v>23703.199999999997</v>
      </c>
      <c r="M34" s="26">
        <f t="shared" si="9"/>
        <v>23703.199999999997</v>
      </c>
      <c r="N34" s="26">
        <f t="shared" si="9"/>
        <v>23703.199999999997</v>
      </c>
      <c r="O34" s="26">
        <f t="shared" si="9"/>
        <v>23703.199999999997</v>
      </c>
      <c r="P34" s="26">
        <f t="shared" si="9"/>
        <v>23703.199999999997</v>
      </c>
      <c r="Q34" s="26">
        <f t="shared" si="9"/>
        <v>23703.199999999997</v>
      </c>
      <c r="R34" s="39">
        <f t="shared" si="9"/>
        <v>11703</v>
      </c>
      <c r="S34" s="4"/>
    </row>
    <row r="35" spans="1:18" ht="33.75">
      <c r="A35" s="1"/>
      <c r="B35" s="2" t="s">
        <v>52</v>
      </c>
      <c r="C35" s="8">
        <v>4575</v>
      </c>
      <c r="D35" s="8">
        <v>4575</v>
      </c>
      <c r="E35" s="8">
        <v>2375</v>
      </c>
      <c r="F35" s="8">
        <v>2375</v>
      </c>
      <c r="G35" s="8">
        <v>2375</v>
      </c>
      <c r="H35" s="8">
        <v>12375</v>
      </c>
      <c r="I35" s="8">
        <v>14000</v>
      </c>
      <c r="J35" s="10">
        <v>12000</v>
      </c>
      <c r="K35" s="10">
        <v>12000</v>
      </c>
      <c r="L35" s="10">
        <v>12000</v>
      </c>
      <c r="M35" s="10">
        <v>12000</v>
      </c>
      <c r="N35" s="10">
        <v>12000</v>
      </c>
      <c r="O35" s="10">
        <v>12000</v>
      </c>
      <c r="P35" s="10">
        <v>12000</v>
      </c>
      <c r="Q35" s="10">
        <v>12000</v>
      </c>
      <c r="R35" s="41">
        <v>0</v>
      </c>
    </row>
    <row r="36" spans="1:19" ht="15.75" thickBot="1">
      <c r="A36" s="1"/>
      <c r="B36" s="24" t="s">
        <v>34</v>
      </c>
      <c r="C36" s="21">
        <v>0</v>
      </c>
      <c r="D36" s="21">
        <f>11769.8-66.6</f>
        <v>11703.199999999999</v>
      </c>
      <c r="E36" s="21">
        <f>11769.9-66.7</f>
        <v>11703.199999999999</v>
      </c>
      <c r="F36" s="21">
        <f>11769.8-66.6</f>
        <v>11703.199999999999</v>
      </c>
      <c r="G36" s="21">
        <f>11769.9-66.7</f>
        <v>11703.199999999999</v>
      </c>
      <c r="H36" s="21">
        <f>11769.8-66.6</f>
        <v>11703.199999999999</v>
      </c>
      <c r="I36" s="21">
        <f>11769.9-66.7</f>
        <v>11703.199999999999</v>
      </c>
      <c r="J36" s="21">
        <f>11769.8-66.6</f>
        <v>11703.199999999999</v>
      </c>
      <c r="K36" s="21">
        <f>11769.9-66.7</f>
        <v>11703.199999999999</v>
      </c>
      <c r="L36" s="21">
        <f>11769.8-66.6</f>
        <v>11703.199999999999</v>
      </c>
      <c r="M36" s="21">
        <f>11769.9-66.7</f>
        <v>11703.199999999999</v>
      </c>
      <c r="N36" s="21">
        <f>11769.8-66.6</f>
        <v>11703.199999999999</v>
      </c>
      <c r="O36" s="21">
        <f>11769.9-66.7</f>
        <v>11703.199999999999</v>
      </c>
      <c r="P36" s="21">
        <f>11769.9-66.7</f>
        <v>11703.199999999999</v>
      </c>
      <c r="Q36" s="21">
        <f>11769.9-66.7</f>
        <v>11703.199999999999</v>
      </c>
      <c r="R36" s="40">
        <f>11769.8-66.8</f>
        <v>11703</v>
      </c>
      <c r="S36" s="4"/>
    </row>
    <row r="37" spans="1:18" ht="34.5" thickBot="1">
      <c r="A37" s="52" t="s">
        <v>35</v>
      </c>
      <c r="B37" s="47" t="s">
        <v>46</v>
      </c>
      <c r="C37" s="6">
        <f aca="true" t="shared" si="10" ref="C37:R37">SUM(C27:C28,C34)</f>
        <v>20518.8</v>
      </c>
      <c r="D37" s="6">
        <f t="shared" si="10"/>
        <v>45511.1</v>
      </c>
      <c r="E37" s="6">
        <f t="shared" si="10"/>
        <v>42525.799999999996</v>
      </c>
      <c r="F37" s="6">
        <f t="shared" si="10"/>
        <v>40964.5</v>
      </c>
      <c r="G37" s="6">
        <f t="shared" si="10"/>
        <v>38512.799999999996</v>
      </c>
      <c r="H37" s="6">
        <f t="shared" si="10"/>
        <v>47916.5</v>
      </c>
      <c r="I37" s="6">
        <f t="shared" si="10"/>
        <v>46448.399999999994</v>
      </c>
      <c r="J37" s="6">
        <f t="shared" si="10"/>
        <v>42722.2</v>
      </c>
      <c r="K37" s="6">
        <f t="shared" si="10"/>
        <v>41019.2</v>
      </c>
      <c r="L37" s="6">
        <f t="shared" si="10"/>
        <v>38883.7</v>
      </c>
      <c r="M37" s="6">
        <f t="shared" si="10"/>
        <v>36970.1</v>
      </c>
      <c r="N37" s="6">
        <f t="shared" si="10"/>
        <v>35054.799999999996</v>
      </c>
      <c r="O37" s="6">
        <f t="shared" si="10"/>
        <v>32621.899999999998</v>
      </c>
      <c r="P37" s="6">
        <f t="shared" si="10"/>
        <v>27708.899999999998</v>
      </c>
      <c r="Q37" s="6">
        <f t="shared" si="10"/>
        <v>25867.799999999996</v>
      </c>
      <c r="R37" s="6">
        <f t="shared" si="10"/>
        <v>12168.4</v>
      </c>
    </row>
    <row r="38" spans="1:18" ht="23.25" thickBot="1">
      <c r="A38" s="52" t="s">
        <v>36</v>
      </c>
      <c r="B38" s="47" t="s">
        <v>45</v>
      </c>
      <c r="C38" s="6">
        <f aca="true" t="shared" si="11" ref="C38:R38">SUM(C25,C33)</f>
        <v>927955.6</v>
      </c>
      <c r="D38" s="6">
        <f t="shared" si="11"/>
        <v>541085</v>
      </c>
      <c r="E38" s="6">
        <f t="shared" si="11"/>
        <v>551887</v>
      </c>
      <c r="F38" s="6">
        <f t="shared" si="11"/>
        <v>564000</v>
      </c>
      <c r="G38" s="6">
        <f t="shared" si="11"/>
        <v>575030</v>
      </c>
      <c r="H38" s="6">
        <f t="shared" si="11"/>
        <v>586280</v>
      </c>
      <c r="I38" s="6">
        <f t="shared" si="11"/>
        <v>597755</v>
      </c>
      <c r="J38" s="6">
        <f t="shared" si="11"/>
        <v>607961</v>
      </c>
      <c r="K38" s="6">
        <f t="shared" si="11"/>
        <v>618900</v>
      </c>
      <c r="L38" s="6">
        <f t="shared" si="11"/>
        <v>630079</v>
      </c>
      <c r="M38" s="6">
        <f t="shared" si="11"/>
        <v>642500</v>
      </c>
      <c r="N38" s="6">
        <f t="shared" si="11"/>
        <v>655370</v>
      </c>
      <c r="O38" s="6">
        <f t="shared" si="11"/>
        <v>668293</v>
      </c>
      <c r="P38" s="6">
        <f t="shared" si="11"/>
        <v>681976</v>
      </c>
      <c r="Q38" s="6">
        <f t="shared" si="11"/>
        <v>695520</v>
      </c>
      <c r="R38" s="6">
        <f t="shared" si="11"/>
        <v>709233</v>
      </c>
    </row>
    <row r="39" spans="1:18" ht="34.5" thickBot="1">
      <c r="A39" s="51" t="s">
        <v>37</v>
      </c>
      <c r="B39" s="45" t="s">
        <v>38</v>
      </c>
      <c r="C39" s="5">
        <v>138650</v>
      </c>
      <c r="D39" s="5">
        <f aca="true" t="shared" si="12" ref="D39:R39">C40</f>
        <v>309622.8</v>
      </c>
      <c r="E39" s="5">
        <f t="shared" si="12"/>
        <v>293344.6</v>
      </c>
      <c r="F39" s="5">
        <f t="shared" si="12"/>
        <v>279266.39999999997</v>
      </c>
      <c r="G39" s="5">
        <f t="shared" si="12"/>
        <v>265188.19999999995</v>
      </c>
      <c r="H39" s="5">
        <f t="shared" si="12"/>
        <v>251109.99999999994</v>
      </c>
      <c r="I39" s="5">
        <f t="shared" si="12"/>
        <v>227031.79999999993</v>
      </c>
      <c r="J39" s="5">
        <f t="shared" si="12"/>
        <v>201328.59999999992</v>
      </c>
      <c r="K39" s="5">
        <f t="shared" si="12"/>
        <v>177625.3999999999</v>
      </c>
      <c r="L39" s="5">
        <f t="shared" si="12"/>
        <v>153922.1999999999</v>
      </c>
      <c r="M39" s="5">
        <f t="shared" si="12"/>
        <v>130218.9999999999</v>
      </c>
      <c r="N39" s="5">
        <f t="shared" si="12"/>
        <v>106515.7999999999</v>
      </c>
      <c r="O39" s="5">
        <f t="shared" si="12"/>
        <v>82812.5999999999</v>
      </c>
      <c r="P39" s="5">
        <f t="shared" si="12"/>
        <v>59109.39999999991</v>
      </c>
      <c r="Q39" s="5">
        <f t="shared" si="12"/>
        <v>35406.19999999991</v>
      </c>
      <c r="R39" s="5">
        <f t="shared" si="12"/>
        <v>11702.999999999913</v>
      </c>
    </row>
    <row r="40" spans="1:18" ht="23.25" thickBot="1">
      <c r="A40" s="54" t="s">
        <v>39</v>
      </c>
      <c r="B40" s="45" t="s">
        <v>44</v>
      </c>
      <c r="C40" s="5">
        <f aca="true" t="shared" si="13" ref="C40:R40">C39+C23-C34</f>
        <v>309622.8</v>
      </c>
      <c r="D40" s="5">
        <f t="shared" si="13"/>
        <v>293344.6</v>
      </c>
      <c r="E40" s="5">
        <f t="shared" si="13"/>
        <v>279266.39999999997</v>
      </c>
      <c r="F40" s="5">
        <f t="shared" si="13"/>
        <v>265188.19999999995</v>
      </c>
      <c r="G40" s="5">
        <f t="shared" si="13"/>
        <v>251109.99999999994</v>
      </c>
      <c r="H40" s="5">
        <f t="shared" si="13"/>
        <v>227031.79999999993</v>
      </c>
      <c r="I40" s="5">
        <f t="shared" si="13"/>
        <v>201328.59999999992</v>
      </c>
      <c r="J40" s="5">
        <f t="shared" si="13"/>
        <v>177625.3999999999</v>
      </c>
      <c r="K40" s="5">
        <f t="shared" si="13"/>
        <v>153922.1999999999</v>
      </c>
      <c r="L40" s="5">
        <f t="shared" si="13"/>
        <v>130218.9999999999</v>
      </c>
      <c r="M40" s="5">
        <f t="shared" si="13"/>
        <v>106515.7999999999</v>
      </c>
      <c r="N40" s="5">
        <f t="shared" si="13"/>
        <v>82812.5999999999</v>
      </c>
      <c r="O40" s="5">
        <f t="shared" si="13"/>
        <v>59109.39999999991</v>
      </c>
      <c r="P40" s="5">
        <f t="shared" si="13"/>
        <v>35406.19999999991</v>
      </c>
      <c r="Q40" s="5">
        <f t="shared" si="13"/>
        <v>11702.999999999913</v>
      </c>
      <c r="R40" s="5">
        <f t="shared" si="13"/>
        <v>-8.731149137020111E-11</v>
      </c>
    </row>
    <row r="42" spans="3:18" ht="15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3:18" ht="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3:18" ht="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9" spans="4:18" ht="1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7" spans="3:18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mergeCells count="7">
    <mergeCell ref="A1:I1"/>
    <mergeCell ref="A2:E2"/>
    <mergeCell ref="F2:Q2"/>
    <mergeCell ref="A4:R4"/>
    <mergeCell ref="A6:A7"/>
    <mergeCell ref="B6:B7"/>
    <mergeCell ref="C6:R6"/>
  </mergeCells>
  <printOptions/>
  <pageMargins left="0.2755905511811024" right="0.31496062992125984" top="1.1811023622047245" bottom="0.1968503937007874" header="0.31496062992125984" footer="0.15748031496062992"/>
  <pageSetup horizontalDpi="600" verticalDpi="600" orientation="landscape" paperSize="9" scale="78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7"/>
  <sheetViews>
    <sheetView view="pageBreakPreview" zoomScaleSheetLayoutView="100" zoomScalePageLayoutView="0" workbookViewId="0" topLeftCell="A1">
      <pane ySplit="7" topLeftCell="A85" activePane="bottomLeft" state="frozen"/>
      <selection pane="topLeft" activeCell="I207" sqref="I207"/>
      <selection pane="bottomLeft" activeCell="M1" sqref="M1:Q1"/>
    </sheetView>
  </sheetViews>
  <sheetFormatPr defaultColWidth="9.140625" defaultRowHeight="15"/>
  <cols>
    <col min="1" max="1" width="4.28125" style="58" bestFit="1" customWidth="1"/>
    <col min="2" max="2" width="6.8515625" style="58" bestFit="1" customWidth="1"/>
    <col min="3" max="3" width="11.00390625" style="58" customWidth="1"/>
    <col min="4" max="4" width="11.140625" style="58" bestFit="1" customWidth="1"/>
    <col min="5" max="5" width="10.8515625" style="58" customWidth="1"/>
    <col min="6" max="6" width="11.57421875" style="58" customWidth="1"/>
    <col min="7" max="7" width="11.140625" style="58" bestFit="1" customWidth="1"/>
    <col min="8" max="8" width="11.00390625" style="58" customWidth="1"/>
    <col min="9" max="9" width="10.421875" style="58" customWidth="1"/>
    <col min="10" max="10" width="11.28125" style="58" customWidth="1"/>
    <col min="11" max="12" width="9.140625" style="58" bestFit="1" customWidth="1"/>
    <col min="13" max="14" width="11.140625" style="58" bestFit="1" customWidth="1"/>
    <col min="15" max="15" width="11.57421875" style="58" bestFit="1" customWidth="1"/>
    <col min="16" max="16" width="9.140625" style="58" bestFit="1" customWidth="1"/>
    <col min="17" max="17" width="10.140625" style="58" bestFit="1" customWidth="1"/>
    <col min="18" max="16384" width="9.140625" style="58" customWidth="1"/>
  </cols>
  <sheetData>
    <row r="1" spans="1:17" ht="65.2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54" t="s">
        <v>508</v>
      </c>
      <c r="N1" s="355"/>
      <c r="O1" s="355"/>
      <c r="P1" s="355"/>
      <c r="Q1" s="355"/>
    </row>
    <row r="2" spans="1:17" ht="65.25" customHeight="1">
      <c r="A2" s="356" t="s">
        <v>175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 ht="15.7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 t="s">
        <v>59</v>
      </c>
      <c r="Q3" s="358"/>
    </row>
    <row r="4" spans="1:17" ht="12.75">
      <c r="A4" s="352" t="s">
        <v>60</v>
      </c>
      <c r="B4" s="352" t="s">
        <v>176</v>
      </c>
      <c r="C4" s="359" t="s">
        <v>177</v>
      </c>
      <c r="D4" s="353" t="s">
        <v>178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1:17" ht="12.75">
      <c r="A5" s="352"/>
      <c r="B5" s="352"/>
      <c r="C5" s="360"/>
      <c r="D5" s="350" t="s">
        <v>179</v>
      </c>
      <c r="E5" s="352" t="s">
        <v>180</v>
      </c>
      <c r="F5" s="352"/>
      <c r="G5" s="352"/>
      <c r="H5" s="352"/>
      <c r="I5" s="352"/>
      <c r="J5" s="352"/>
      <c r="K5" s="352"/>
      <c r="L5" s="352"/>
      <c r="M5" s="350" t="s">
        <v>181</v>
      </c>
      <c r="N5" s="352" t="s">
        <v>180</v>
      </c>
      <c r="O5" s="352"/>
      <c r="P5" s="352"/>
      <c r="Q5" s="352"/>
    </row>
    <row r="6" spans="1:17" ht="12.75">
      <c r="A6" s="352"/>
      <c r="B6" s="352"/>
      <c r="C6" s="360"/>
      <c r="D6" s="351"/>
      <c r="E6" s="353" t="s">
        <v>182</v>
      </c>
      <c r="F6" s="352" t="s">
        <v>183</v>
      </c>
      <c r="G6" s="352"/>
      <c r="H6" s="353" t="s">
        <v>184</v>
      </c>
      <c r="I6" s="353" t="s">
        <v>185</v>
      </c>
      <c r="J6" s="353" t="s">
        <v>186</v>
      </c>
      <c r="K6" s="353" t="s">
        <v>187</v>
      </c>
      <c r="L6" s="353" t="s">
        <v>188</v>
      </c>
      <c r="M6" s="351"/>
      <c r="N6" s="353" t="s">
        <v>189</v>
      </c>
      <c r="O6" s="112" t="s">
        <v>183</v>
      </c>
      <c r="P6" s="353" t="s">
        <v>190</v>
      </c>
      <c r="Q6" s="353" t="s">
        <v>191</v>
      </c>
    </row>
    <row r="7" spans="1:17" ht="70.5" customHeight="1">
      <c r="A7" s="352"/>
      <c r="B7" s="352"/>
      <c r="C7" s="360"/>
      <c r="D7" s="351"/>
      <c r="E7" s="352"/>
      <c r="F7" s="112" t="s">
        <v>192</v>
      </c>
      <c r="G7" s="112" t="s">
        <v>193</v>
      </c>
      <c r="H7" s="353"/>
      <c r="I7" s="353"/>
      <c r="J7" s="353"/>
      <c r="K7" s="353"/>
      <c r="L7" s="353"/>
      <c r="M7" s="351"/>
      <c r="N7" s="352"/>
      <c r="O7" s="112" t="s">
        <v>194</v>
      </c>
      <c r="P7" s="352"/>
      <c r="Q7" s="352"/>
    </row>
    <row r="8" spans="1:17" s="85" customFormat="1" ht="12.75">
      <c r="A8" s="113" t="s">
        <v>64</v>
      </c>
      <c r="B8" s="113"/>
      <c r="C8" s="114">
        <f>SUM(C9:C15)</f>
        <v>67615729</v>
      </c>
      <c r="D8" s="114">
        <f aca="true" t="shared" si="0" ref="D8:Q8">SUM(D9:D15)</f>
        <v>19959840</v>
      </c>
      <c r="E8" s="114">
        <f t="shared" si="0"/>
        <v>15379840</v>
      </c>
      <c r="F8" s="114">
        <f t="shared" si="0"/>
        <v>8266200</v>
      </c>
      <c r="G8" s="114">
        <f t="shared" si="0"/>
        <v>7113640</v>
      </c>
      <c r="H8" s="114">
        <f>SUM(H9:H15)</f>
        <v>300000</v>
      </c>
      <c r="I8" s="114">
        <f t="shared" si="0"/>
        <v>12000</v>
      </c>
      <c r="J8" s="114">
        <f t="shared" si="0"/>
        <v>4268000</v>
      </c>
      <c r="K8" s="114">
        <f t="shared" si="0"/>
        <v>0</v>
      </c>
      <c r="L8" s="114">
        <f t="shared" si="0"/>
        <v>0</v>
      </c>
      <c r="M8" s="114">
        <f t="shared" si="0"/>
        <v>47655889</v>
      </c>
      <c r="N8" s="114">
        <f t="shared" si="0"/>
        <v>47655889</v>
      </c>
      <c r="O8" s="114">
        <f>SUM(O9:O15)</f>
        <v>45298889</v>
      </c>
      <c r="P8" s="114">
        <f t="shared" si="0"/>
        <v>0</v>
      </c>
      <c r="Q8" s="114">
        <f t="shared" si="0"/>
        <v>0</v>
      </c>
    </row>
    <row r="9" spans="1:17" ht="12.75">
      <c r="A9" s="348"/>
      <c r="B9" s="115" t="s">
        <v>66</v>
      </c>
      <c r="C9" s="116">
        <f>SUM(D9,M9)</f>
        <v>20000</v>
      </c>
      <c r="D9" s="116">
        <f>SUM(E9,L9,K9,J9,I9,H9)</f>
        <v>20000</v>
      </c>
      <c r="E9" s="116">
        <f>SUM(F9:G9)</f>
        <v>20000</v>
      </c>
      <c r="F9" s="116"/>
      <c r="G9" s="116">
        <v>20000</v>
      </c>
      <c r="H9" s="116"/>
      <c r="I9" s="116"/>
      <c r="J9" s="116"/>
      <c r="K9" s="116"/>
      <c r="L9" s="116"/>
      <c r="M9" s="116">
        <f aca="true" t="shared" si="1" ref="M9:M15">SUM(N9,P9,Q9)</f>
        <v>0</v>
      </c>
      <c r="N9" s="116"/>
      <c r="O9" s="116"/>
      <c r="P9" s="116"/>
      <c r="Q9" s="116"/>
    </row>
    <row r="10" spans="1:17" ht="12.75">
      <c r="A10" s="348"/>
      <c r="B10" s="115" t="s">
        <v>71</v>
      </c>
      <c r="C10" s="116">
        <f aca="true" t="shared" si="2" ref="C10:C15">SUM(D10,M10)</f>
        <v>10650400</v>
      </c>
      <c r="D10" s="116">
        <f aca="true" t="shared" si="3" ref="D10:D15">SUM(E10,L10,K10,J10,I10,H10)</f>
        <v>10198400</v>
      </c>
      <c r="E10" s="116">
        <f aca="true" t="shared" si="4" ref="E10:E15">SUM(F10:G10)</f>
        <v>10186400</v>
      </c>
      <c r="F10" s="116">
        <v>8266200</v>
      </c>
      <c r="G10" s="116">
        <f>1932200-12000</f>
        <v>1920200</v>
      </c>
      <c r="H10" s="116"/>
      <c r="I10" s="116">
        <v>12000</v>
      </c>
      <c r="J10" s="116"/>
      <c r="K10" s="116"/>
      <c r="L10" s="116"/>
      <c r="M10" s="116">
        <f t="shared" si="1"/>
        <v>452000</v>
      </c>
      <c r="N10" s="116">
        <v>452000</v>
      </c>
      <c r="O10" s="116">
        <v>330000</v>
      </c>
      <c r="P10" s="116"/>
      <c r="Q10" s="116"/>
    </row>
    <row r="11" spans="1:17" ht="12.75">
      <c r="A11" s="348"/>
      <c r="B11" s="115" t="s">
        <v>74</v>
      </c>
      <c r="C11" s="116">
        <f t="shared" si="2"/>
        <v>18557000</v>
      </c>
      <c r="D11" s="116">
        <f t="shared" si="3"/>
        <v>5102000</v>
      </c>
      <c r="E11" s="116">
        <f t="shared" si="4"/>
        <v>5102000</v>
      </c>
      <c r="F11" s="116"/>
      <c r="G11" s="116">
        <v>5102000</v>
      </c>
      <c r="H11" s="116"/>
      <c r="I11" s="116"/>
      <c r="J11" s="116"/>
      <c r="K11" s="116"/>
      <c r="L11" s="116"/>
      <c r="M11" s="116">
        <f t="shared" si="1"/>
        <v>13455000</v>
      </c>
      <c r="N11" s="116">
        <v>13455000</v>
      </c>
      <c r="O11" s="116">
        <f>10975000+250000</f>
        <v>11225000</v>
      </c>
      <c r="P11" s="116"/>
      <c r="Q11" s="116"/>
    </row>
    <row r="12" spans="1:17" ht="12.75">
      <c r="A12" s="348"/>
      <c r="B12" s="115" t="s">
        <v>195</v>
      </c>
      <c r="C12" s="116">
        <f t="shared" si="2"/>
        <v>300000</v>
      </c>
      <c r="D12" s="116">
        <f t="shared" si="3"/>
        <v>300000</v>
      </c>
      <c r="E12" s="116">
        <f t="shared" si="4"/>
        <v>0</v>
      </c>
      <c r="F12" s="116"/>
      <c r="G12" s="116"/>
      <c r="H12" s="116">
        <v>300000</v>
      </c>
      <c r="I12" s="116"/>
      <c r="J12" s="116"/>
      <c r="K12" s="116"/>
      <c r="L12" s="116"/>
      <c r="M12" s="116">
        <f t="shared" si="1"/>
        <v>0</v>
      </c>
      <c r="N12" s="116"/>
      <c r="O12" s="116"/>
      <c r="P12" s="116"/>
      <c r="Q12" s="116"/>
    </row>
    <row r="13" spans="1:17" ht="12.75">
      <c r="A13" s="348"/>
      <c r="B13" s="115" t="s">
        <v>79</v>
      </c>
      <c r="C13" s="116">
        <f t="shared" si="2"/>
        <v>4276000</v>
      </c>
      <c r="D13" s="116">
        <f t="shared" si="3"/>
        <v>4268000</v>
      </c>
      <c r="E13" s="116">
        <f t="shared" si="4"/>
        <v>0</v>
      </c>
      <c r="F13" s="116"/>
      <c r="G13" s="116"/>
      <c r="H13" s="116"/>
      <c r="I13" s="116"/>
      <c r="J13" s="116">
        <v>4268000</v>
      </c>
      <c r="K13" s="116"/>
      <c r="L13" s="116"/>
      <c r="M13" s="116">
        <f t="shared" si="1"/>
        <v>8000</v>
      </c>
      <c r="N13" s="116">
        <v>8000</v>
      </c>
      <c r="O13" s="116">
        <v>8000</v>
      </c>
      <c r="P13" s="116"/>
      <c r="Q13" s="116"/>
    </row>
    <row r="14" spans="1:17" ht="12.75">
      <c r="A14" s="348"/>
      <c r="B14" s="115" t="s">
        <v>81</v>
      </c>
      <c r="C14" s="116">
        <f t="shared" si="2"/>
        <v>33735889</v>
      </c>
      <c r="D14" s="116">
        <f t="shared" si="3"/>
        <v>0</v>
      </c>
      <c r="E14" s="116">
        <f t="shared" si="4"/>
        <v>0</v>
      </c>
      <c r="F14" s="116"/>
      <c r="G14" s="116"/>
      <c r="H14" s="116"/>
      <c r="I14" s="116"/>
      <c r="J14" s="116"/>
      <c r="K14" s="116"/>
      <c r="L14" s="116"/>
      <c r="M14" s="116">
        <f t="shared" si="1"/>
        <v>33735889</v>
      </c>
      <c r="N14" s="116">
        <v>33735889</v>
      </c>
      <c r="O14" s="116">
        <v>33735889</v>
      </c>
      <c r="P14" s="116"/>
      <c r="Q14" s="116"/>
    </row>
    <row r="15" spans="1:17" ht="12.75">
      <c r="A15" s="348"/>
      <c r="B15" s="115" t="s">
        <v>196</v>
      </c>
      <c r="C15" s="116">
        <f t="shared" si="2"/>
        <v>76440</v>
      </c>
      <c r="D15" s="116">
        <f t="shared" si="3"/>
        <v>71440</v>
      </c>
      <c r="E15" s="116">
        <f t="shared" si="4"/>
        <v>71440</v>
      </c>
      <c r="F15" s="116"/>
      <c r="G15" s="116">
        <v>71440</v>
      </c>
      <c r="H15" s="116"/>
      <c r="I15" s="116"/>
      <c r="J15" s="116"/>
      <c r="K15" s="116"/>
      <c r="L15" s="116"/>
      <c r="M15" s="116">
        <f t="shared" si="1"/>
        <v>5000</v>
      </c>
      <c r="N15" s="116">
        <v>5000</v>
      </c>
      <c r="O15" s="116"/>
      <c r="P15" s="116"/>
      <c r="Q15" s="116"/>
    </row>
    <row r="16" spans="1:17" s="85" customFormat="1" ht="12.75">
      <c r="A16" s="113" t="s">
        <v>85</v>
      </c>
      <c r="B16" s="113"/>
      <c r="C16" s="114">
        <f>SUM(C17)</f>
        <v>401000</v>
      </c>
      <c r="D16" s="114">
        <f aca="true" t="shared" si="5" ref="D16:Q16">SUM(D17)</f>
        <v>385000</v>
      </c>
      <c r="E16" s="114">
        <f t="shared" si="5"/>
        <v>0</v>
      </c>
      <c r="F16" s="114">
        <f t="shared" si="5"/>
        <v>0</v>
      </c>
      <c r="G16" s="114">
        <f t="shared" si="5"/>
        <v>0</v>
      </c>
      <c r="H16" s="114">
        <f t="shared" si="5"/>
        <v>0</v>
      </c>
      <c r="I16" s="114">
        <f t="shared" si="5"/>
        <v>0</v>
      </c>
      <c r="J16" s="114">
        <f t="shared" si="5"/>
        <v>385000</v>
      </c>
      <c r="K16" s="114">
        <f t="shared" si="5"/>
        <v>0</v>
      </c>
      <c r="L16" s="114">
        <f t="shared" si="5"/>
        <v>0</v>
      </c>
      <c r="M16" s="114">
        <f t="shared" si="5"/>
        <v>16000</v>
      </c>
      <c r="N16" s="114">
        <f t="shared" si="5"/>
        <v>16000</v>
      </c>
      <c r="O16" s="114">
        <f>SUM(O17)</f>
        <v>16000</v>
      </c>
      <c r="P16" s="114">
        <f t="shared" si="5"/>
        <v>0</v>
      </c>
      <c r="Q16" s="114">
        <f t="shared" si="5"/>
        <v>0</v>
      </c>
    </row>
    <row r="17" spans="1:17" ht="12.75">
      <c r="A17" s="115"/>
      <c r="B17" s="115" t="s">
        <v>87</v>
      </c>
      <c r="C17" s="116">
        <f aca="true" t="shared" si="6" ref="C17:C26">SUM(D17,M17)</f>
        <v>401000</v>
      </c>
      <c r="D17" s="116">
        <f aca="true" t="shared" si="7" ref="D17:D22">SUM(E17,L17,K17,J17,I17,H17)</f>
        <v>385000</v>
      </c>
      <c r="E17" s="116">
        <f>SUM(F17:G17)</f>
        <v>0</v>
      </c>
      <c r="F17" s="116"/>
      <c r="G17" s="116"/>
      <c r="H17" s="116"/>
      <c r="I17" s="116"/>
      <c r="J17" s="116">
        <v>385000</v>
      </c>
      <c r="K17" s="116"/>
      <c r="L17" s="116"/>
      <c r="M17" s="116">
        <f>SUM(N17,P17,Q17)</f>
        <v>16000</v>
      </c>
      <c r="N17" s="116">
        <v>16000</v>
      </c>
      <c r="O17" s="116">
        <v>16000</v>
      </c>
      <c r="P17" s="116"/>
      <c r="Q17" s="116"/>
    </row>
    <row r="18" spans="1:17" s="85" customFormat="1" ht="12.75">
      <c r="A18" s="113" t="s">
        <v>197</v>
      </c>
      <c r="B18" s="113"/>
      <c r="C18" s="114">
        <f>SUM(C19)</f>
        <v>14397</v>
      </c>
      <c r="D18" s="114">
        <f aca="true" t="shared" si="8" ref="D18:Q18">SUM(D19)</f>
        <v>14397</v>
      </c>
      <c r="E18" s="114">
        <f t="shared" si="8"/>
        <v>0</v>
      </c>
      <c r="F18" s="114">
        <f t="shared" si="8"/>
        <v>0</v>
      </c>
      <c r="G18" s="114">
        <f t="shared" si="8"/>
        <v>0</v>
      </c>
      <c r="H18" s="114">
        <f t="shared" si="8"/>
        <v>0</v>
      </c>
      <c r="I18" s="114">
        <f t="shared" si="8"/>
        <v>0</v>
      </c>
      <c r="J18" s="114">
        <f t="shared" si="8"/>
        <v>14397</v>
      </c>
      <c r="K18" s="114">
        <f t="shared" si="8"/>
        <v>0</v>
      </c>
      <c r="L18" s="114">
        <f t="shared" si="8"/>
        <v>0</v>
      </c>
      <c r="M18" s="114">
        <f t="shared" si="8"/>
        <v>0</v>
      </c>
      <c r="N18" s="114">
        <f t="shared" si="8"/>
        <v>0</v>
      </c>
      <c r="O18" s="114">
        <f t="shared" si="8"/>
        <v>0</v>
      </c>
      <c r="P18" s="114">
        <f t="shared" si="8"/>
        <v>0</v>
      </c>
      <c r="Q18" s="114">
        <f t="shared" si="8"/>
        <v>0</v>
      </c>
    </row>
    <row r="19" spans="1:17" ht="12.75">
      <c r="A19" s="115"/>
      <c r="B19" s="115" t="s">
        <v>198</v>
      </c>
      <c r="C19" s="116">
        <f t="shared" si="6"/>
        <v>14397</v>
      </c>
      <c r="D19" s="116">
        <f t="shared" si="7"/>
        <v>14397</v>
      </c>
      <c r="E19" s="116">
        <f>SUM(F19:G19)</f>
        <v>0</v>
      </c>
      <c r="F19" s="116"/>
      <c r="G19" s="116"/>
      <c r="H19" s="116"/>
      <c r="I19" s="116"/>
      <c r="J19" s="116">
        <v>14397</v>
      </c>
      <c r="K19" s="116"/>
      <c r="L19" s="116"/>
      <c r="M19" s="116">
        <f aca="true" t="shared" si="9" ref="M19:M29">SUM(N19,P19,Q19)</f>
        <v>0</v>
      </c>
      <c r="N19" s="116"/>
      <c r="O19" s="116"/>
      <c r="P19" s="116"/>
      <c r="Q19" s="116"/>
    </row>
    <row r="20" spans="1:17" s="85" customFormat="1" ht="12.75">
      <c r="A20" s="113" t="s">
        <v>199</v>
      </c>
      <c r="B20" s="113"/>
      <c r="C20" s="114">
        <f>SUM(C21,C22,C23,C24,C27)</f>
        <v>513533892</v>
      </c>
      <c r="D20" s="114">
        <f aca="true" t="shared" si="10" ref="D20:Q20">SUM(D21,D22,D23,D24,D27)</f>
        <v>196818658</v>
      </c>
      <c r="E20" s="114">
        <f t="shared" si="10"/>
        <v>111266658</v>
      </c>
      <c r="F20" s="114">
        <f t="shared" si="10"/>
        <v>12060081</v>
      </c>
      <c r="G20" s="114">
        <f t="shared" si="10"/>
        <v>99206577</v>
      </c>
      <c r="H20" s="114">
        <f t="shared" si="10"/>
        <v>85402000</v>
      </c>
      <c r="I20" s="114">
        <f t="shared" si="10"/>
        <v>150000</v>
      </c>
      <c r="J20" s="114">
        <f t="shared" si="10"/>
        <v>0</v>
      </c>
      <c r="K20" s="114">
        <f t="shared" si="10"/>
        <v>0</v>
      </c>
      <c r="L20" s="114">
        <f t="shared" si="10"/>
        <v>0</v>
      </c>
      <c r="M20" s="114">
        <f t="shared" si="10"/>
        <v>316715234</v>
      </c>
      <c r="N20" s="114">
        <f t="shared" si="10"/>
        <v>306715234</v>
      </c>
      <c r="O20" s="114">
        <f t="shared" si="10"/>
        <v>120942161</v>
      </c>
      <c r="P20" s="114">
        <f t="shared" si="10"/>
        <v>0</v>
      </c>
      <c r="Q20" s="114">
        <f t="shared" si="10"/>
        <v>10000000</v>
      </c>
    </row>
    <row r="21" spans="1:17" ht="12.75">
      <c r="A21" s="348"/>
      <c r="B21" s="115" t="s">
        <v>200</v>
      </c>
      <c r="C21" s="116">
        <f t="shared" si="6"/>
        <v>40423823</v>
      </c>
      <c r="D21" s="116">
        <f t="shared" si="7"/>
        <v>36423823</v>
      </c>
      <c r="E21" s="116">
        <f>SUM(F21:G21)</f>
        <v>1423823</v>
      </c>
      <c r="F21" s="116"/>
      <c r="G21" s="116">
        <v>1423823</v>
      </c>
      <c r="H21" s="116">
        <v>35000000</v>
      </c>
      <c r="I21" s="116"/>
      <c r="J21" s="116"/>
      <c r="K21" s="116"/>
      <c r="L21" s="116"/>
      <c r="M21" s="116">
        <f t="shared" si="9"/>
        <v>4000000</v>
      </c>
      <c r="N21" s="116">
        <v>4000000</v>
      </c>
      <c r="O21" s="116">
        <v>4000000</v>
      </c>
      <c r="P21" s="116"/>
      <c r="Q21" s="116"/>
    </row>
    <row r="22" spans="1:17" ht="12.75">
      <c r="A22" s="348"/>
      <c r="B22" s="115" t="s">
        <v>201</v>
      </c>
      <c r="C22" s="116">
        <f t="shared" si="6"/>
        <v>50402000</v>
      </c>
      <c r="D22" s="116">
        <f t="shared" si="7"/>
        <v>50402000</v>
      </c>
      <c r="E22" s="116">
        <f>SUM(F22:G22)</f>
        <v>0</v>
      </c>
      <c r="F22" s="116"/>
      <c r="G22" s="116"/>
      <c r="H22" s="116">
        <v>50402000</v>
      </c>
      <c r="I22" s="116"/>
      <c r="J22" s="116"/>
      <c r="K22" s="116"/>
      <c r="L22" s="116"/>
      <c r="M22" s="116">
        <f t="shared" si="9"/>
        <v>0</v>
      </c>
      <c r="N22" s="116"/>
      <c r="O22" s="116"/>
      <c r="P22" s="116"/>
      <c r="Q22" s="116"/>
    </row>
    <row r="23" spans="1:17" ht="12.75">
      <c r="A23" s="348"/>
      <c r="B23" s="115" t="s">
        <v>202</v>
      </c>
      <c r="C23" s="116">
        <f t="shared" si="6"/>
        <v>110000</v>
      </c>
      <c r="D23" s="116">
        <f>SUM(E23,L23,K23,J23,I23,H23)</f>
        <v>110000</v>
      </c>
      <c r="E23" s="116">
        <f>SUM(F23:G23)</f>
        <v>110000</v>
      </c>
      <c r="F23" s="116"/>
      <c r="G23" s="116">
        <v>110000</v>
      </c>
      <c r="H23" s="116"/>
      <c r="I23" s="116"/>
      <c r="J23" s="116"/>
      <c r="K23" s="116"/>
      <c r="L23" s="116"/>
      <c r="M23" s="116">
        <f t="shared" si="9"/>
        <v>0</v>
      </c>
      <c r="N23" s="116"/>
      <c r="O23" s="116"/>
      <c r="P23" s="116"/>
      <c r="Q23" s="116"/>
    </row>
    <row r="24" spans="1:17" ht="12.75">
      <c r="A24" s="348"/>
      <c r="B24" s="115" t="s">
        <v>203</v>
      </c>
      <c r="C24" s="116">
        <f>SUM(C25:C26)</f>
        <v>412598069</v>
      </c>
      <c r="D24" s="116">
        <f>SUM(D25:D26)</f>
        <v>109882835</v>
      </c>
      <c r="E24" s="116">
        <f>SUM(E25:E26)</f>
        <v>109732835</v>
      </c>
      <c r="F24" s="116">
        <f>SUM(F25:F26)</f>
        <v>12060081</v>
      </c>
      <c r="G24" s="116">
        <f>SUM(G25:G26)</f>
        <v>97672754</v>
      </c>
      <c r="H24" s="116">
        <f aca="true" t="shared" si="11" ref="H24:Q24">SUM(H25:H26)</f>
        <v>0</v>
      </c>
      <c r="I24" s="116">
        <f>SUM(I25:I26)</f>
        <v>150000</v>
      </c>
      <c r="J24" s="116">
        <f t="shared" si="11"/>
        <v>0</v>
      </c>
      <c r="K24" s="116">
        <f t="shared" si="11"/>
        <v>0</v>
      </c>
      <c r="L24" s="116">
        <f t="shared" si="11"/>
        <v>0</v>
      </c>
      <c r="M24" s="116">
        <f>SUM(M25:M26)</f>
        <v>302715234</v>
      </c>
      <c r="N24" s="116">
        <f>SUM(N25:N26)</f>
        <v>302715234</v>
      </c>
      <c r="O24" s="116">
        <f t="shared" si="11"/>
        <v>116942161</v>
      </c>
      <c r="P24" s="116">
        <f t="shared" si="11"/>
        <v>0</v>
      </c>
      <c r="Q24" s="116">
        <f t="shared" si="11"/>
        <v>0</v>
      </c>
    </row>
    <row r="25" spans="1:17" ht="11.25" customHeight="1" hidden="1">
      <c r="A25" s="348"/>
      <c r="B25" s="117" t="s">
        <v>204</v>
      </c>
      <c r="C25" s="118">
        <f>SUM(D25,M25)</f>
        <v>408198069</v>
      </c>
      <c r="D25" s="118">
        <f>SUM(E25,L25,K25,J25,I25,H25)</f>
        <v>105482835</v>
      </c>
      <c r="E25" s="118">
        <f>SUM(F25:G25)</f>
        <v>105332835</v>
      </c>
      <c r="F25" s="119">
        <v>12060081</v>
      </c>
      <c r="G25" s="119">
        <f>93422754-150000</f>
        <v>93272754</v>
      </c>
      <c r="H25" s="119"/>
      <c r="I25" s="119">
        <v>150000</v>
      </c>
      <c r="J25" s="119"/>
      <c r="K25" s="119"/>
      <c r="L25" s="119"/>
      <c r="M25" s="119">
        <f t="shared" si="9"/>
        <v>302715234</v>
      </c>
      <c r="N25" s="119">
        <v>302715234</v>
      </c>
      <c r="O25" s="119">
        <v>116942161</v>
      </c>
      <c r="P25" s="119"/>
      <c r="Q25" s="119"/>
    </row>
    <row r="26" spans="1:17" ht="12.75" customHeight="1" hidden="1">
      <c r="A26" s="348"/>
      <c r="B26" s="117" t="s">
        <v>205</v>
      </c>
      <c r="C26" s="118">
        <f t="shared" si="6"/>
        <v>4400000</v>
      </c>
      <c r="D26" s="118">
        <f>SUM(E26,L26,K26,J26,I26,H26)</f>
        <v>4400000</v>
      </c>
      <c r="E26" s="118">
        <f>SUM(F26:G26)</f>
        <v>4400000</v>
      </c>
      <c r="F26" s="119"/>
      <c r="G26" s="119">
        <v>4400000</v>
      </c>
      <c r="H26" s="119"/>
      <c r="I26" s="119"/>
      <c r="J26" s="119"/>
      <c r="K26" s="119"/>
      <c r="L26" s="119"/>
      <c r="M26" s="119">
        <f t="shared" si="9"/>
        <v>0</v>
      </c>
      <c r="N26" s="119"/>
      <c r="O26" s="119"/>
      <c r="P26" s="119"/>
      <c r="Q26" s="119"/>
    </row>
    <row r="27" spans="1:17" ht="12.75">
      <c r="A27" s="348"/>
      <c r="B27" s="115" t="s">
        <v>206</v>
      </c>
      <c r="C27" s="116">
        <f>SUM(D27,M27)</f>
        <v>10000000</v>
      </c>
      <c r="D27" s="116">
        <f>SUM(E27,L27,K27,J27,I27,H27)</f>
        <v>0</v>
      </c>
      <c r="E27" s="116">
        <f>SUM(F27:G27)</f>
        <v>0</v>
      </c>
      <c r="F27" s="116"/>
      <c r="G27" s="116"/>
      <c r="H27" s="116"/>
      <c r="I27" s="116"/>
      <c r="J27" s="116"/>
      <c r="K27" s="116"/>
      <c r="L27" s="116"/>
      <c r="M27" s="116">
        <f t="shared" si="9"/>
        <v>10000000</v>
      </c>
      <c r="N27" s="116"/>
      <c r="O27" s="116"/>
      <c r="P27" s="116"/>
      <c r="Q27" s="116">
        <v>10000000</v>
      </c>
    </row>
    <row r="28" spans="1:17" s="85" customFormat="1" ht="12.75">
      <c r="A28" s="113" t="s">
        <v>207</v>
      </c>
      <c r="B28" s="113"/>
      <c r="C28" s="114">
        <f>SUM(C29)</f>
        <v>150000</v>
      </c>
      <c r="D28" s="114">
        <f aca="true" t="shared" si="12" ref="D28:Q28">SUM(D29)</f>
        <v>150000</v>
      </c>
      <c r="E28" s="114">
        <f t="shared" si="12"/>
        <v>150000</v>
      </c>
      <c r="F28" s="114">
        <f t="shared" si="12"/>
        <v>0</v>
      </c>
      <c r="G28" s="114">
        <f t="shared" si="12"/>
        <v>150000</v>
      </c>
      <c r="H28" s="114">
        <f t="shared" si="12"/>
        <v>0</v>
      </c>
      <c r="I28" s="114">
        <f t="shared" si="12"/>
        <v>0</v>
      </c>
      <c r="J28" s="114">
        <f t="shared" si="12"/>
        <v>0</v>
      </c>
      <c r="K28" s="114">
        <f t="shared" si="12"/>
        <v>0</v>
      </c>
      <c r="L28" s="114">
        <f t="shared" si="12"/>
        <v>0</v>
      </c>
      <c r="M28" s="114">
        <f t="shared" si="12"/>
        <v>0</v>
      </c>
      <c r="N28" s="114">
        <f t="shared" si="12"/>
        <v>0</v>
      </c>
      <c r="O28" s="114">
        <f t="shared" si="12"/>
        <v>0</v>
      </c>
      <c r="P28" s="114">
        <f t="shared" si="12"/>
        <v>0</v>
      </c>
      <c r="Q28" s="114">
        <f t="shared" si="12"/>
        <v>0</v>
      </c>
    </row>
    <row r="29" spans="1:17" ht="12.75">
      <c r="A29" s="115"/>
      <c r="B29" s="115" t="s">
        <v>208</v>
      </c>
      <c r="C29" s="116">
        <f>SUM(D29,M29)</f>
        <v>150000</v>
      </c>
      <c r="D29" s="116">
        <f>SUM(E29,L29,K29,J29,I29,H29)</f>
        <v>150000</v>
      </c>
      <c r="E29" s="116">
        <f>SUM(F29:G29)</f>
        <v>150000</v>
      </c>
      <c r="F29" s="116"/>
      <c r="G29" s="116">
        <v>150000</v>
      </c>
      <c r="H29" s="116"/>
      <c r="I29" s="116"/>
      <c r="J29" s="116"/>
      <c r="K29" s="116"/>
      <c r="L29" s="116"/>
      <c r="M29" s="116">
        <f t="shared" si="9"/>
        <v>0</v>
      </c>
      <c r="N29" s="116"/>
      <c r="O29" s="116"/>
      <c r="P29" s="116"/>
      <c r="Q29" s="116"/>
    </row>
    <row r="30" spans="1:17" s="85" customFormat="1" ht="12.75">
      <c r="A30" s="113" t="s">
        <v>209</v>
      </c>
      <c r="B30" s="113"/>
      <c r="C30" s="114">
        <f>SUM(C31)</f>
        <v>913000</v>
      </c>
      <c r="D30" s="114">
        <f aca="true" t="shared" si="13" ref="D30:Q30">SUM(D31)</f>
        <v>913000</v>
      </c>
      <c r="E30" s="114">
        <f t="shared" si="13"/>
        <v>913000</v>
      </c>
      <c r="F30" s="114">
        <f t="shared" si="13"/>
        <v>0</v>
      </c>
      <c r="G30" s="114">
        <f t="shared" si="13"/>
        <v>913000</v>
      </c>
      <c r="H30" s="114">
        <f t="shared" si="13"/>
        <v>0</v>
      </c>
      <c r="I30" s="114">
        <f t="shared" si="13"/>
        <v>0</v>
      </c>
      <c r="J30" s="114">
        <f t="shared" si="13"/>
        <v>0</v>
      </c>
      <c r="K30" s="114">
        <f t="shared" si="13"/>
        <v>0</v>
      </c>
      <c r="L30" s="114">
        <f t="shared" si="13"/>
        <v>0</v>
      </c>
      <c r="M30" s="114">
        <f t="shared" si="13"/>
        <v>0</v>
      </c>
      <c r="N30" s="114">
        <f t="shared" si="13"/>
        <v>0</v>
      </c>
      <c r="O30" s="114">
        <f t="shared" si="13"/>
        <v>0</v>
      </c>
      <c r="P30" s="114">
        <f t="shared" si="13"/>
        <v>0</v>
      </c>
      <c r="Q30" s="114">
        <f t="shared" si="13"/>
        <v>0</v>
      </c>
    </row>
    <row r="31" spans="1:17" ht="12.75">
      <c r="A31" s="115"/>
      <c r="B31" s="115" t="s">
        <v>210</v>
      </c>
      <c r="C31" s="116">
        <f>SUM(D31,M31)</f>
        <v>913000</v>
      </c>
      <c r="D31" s="116">
        <f>SUM(E31,L31,K31,J31,I31,H31)</f>
        <v>913000</v>
      </c>
      <c r="E31" s="116">
        <f>SUM(F31:G31)</f>
        <v>913000</v>
      </c>
      <c r="F31" s="116"/>
      <c r="G31" s="116">
        <v>913000</v>
      </c>
      <c r="H31" s="116"/>
      <c r="I31" s="116"/>
      <c r="J31" s="116"/>
      <c r="K31" s="116"/>
      <c r="L31" s="116"/>
      <c r="M31" s="116">
        <f>SUM(N31,P31,Q31)</f>
        <v>0</v>
      </c>
      <c r="N31" s="116"/>
      <c r="O31" s="116"/>
      <c r="P31" s="116"/>
      <c r="Q31" s="116"/>
    </row>
    <row r="32" spans="1:17" s="85" customFormat="1" ht="12.75">
      <c r="A32" s="113" t="s">
        <v>211</v>
      </c>
      <c r="B32" s="113"/>
      <c r="C32" s="114">
        <f>SUM(C33:C36)</f>
        <v>4689600</v>
      </c>
      <c r="D32" s="114">
        <f aca="true" t="shared" si="14" ref="D32:Q32">SUM(D33:D36)</f>
        <v>4589600</v>
      </c>
      <c r="E32" s="114">
        <f t="shared" si="14"/>
        <v>4573300</v>
      </c>
      <c r="F32" s="114">
        <f t="shared" si="14"/>
        <v>3534700</v>
      </c>
      <c r="G32" s="114">
        <f t="shared" si="14"/>
        <v>1038600</v>
      </c>
      <c r="H32" s="114">
        <f t="shared" si="14"/>
        <v>0</v>
      </c>
      <c r="I32" s="114">
        <f t="shared" si="14"/>
        <v>16300</v>
      </c>
      <c r="J32" s="114">
        <f t="shared" si="14"/>
        <v>0</v>
      </c>
      <c r="K32" s="114">
        <f t="shared" si="14"/>
        <v>0</v>
      </c>
      <c r="L32" s="114">
        <f t="shared" si="14"/>
        <v>0</v>
      </c>
      <c r="M32" s="114">
        <f t="shared" si="14"/>
        <v>100000</v>
      </c>
      <c r="N32" s="114">
        <f t="shared" si="14"/>
        <v>100000</v>
      </c>
      <c r="O32" s="114">
        <f t="shared" si="14"/>
        <v>0</v>
      </c>
      <c r="P32" s="114">
        <f t="shared" si="14"/>
        <v>0</v>
      </c>
      <c r="Q32" s="114">
        <f t="shared" si="14"/>
        <v>0</v>
      </c>
    </row>
    <row r="33" spans="1:17" ht="12.75">
      <c r="A33" s="348"/>
      <c r="B33" s="115" t="s">
        <v>212</v>
      </c>
      <c r="C33" s="116">
        <f aca="true" t="shared" si="15" ref="C33:C40">SUM(D33,M33)</f>
        <v>3900000</v>
      </c>
      <c r="D33" s="116">
        <f aca="true" t="shared" si="16" ref="D33:D40">SUM(E33,L33,K33,J33,I33,H33)</f>
        <v>3800000</v>
      </c>
      <c r="E33" s="116">
        <f>SUM(F33:G33)</f>
        <v>3785000</v>
      </c>
      <c r="F33" s="116">
        <v>3070000</v>
      </c>
      <c r="G33" s="116">
        <f>730000-15000</f>
        <v>715000</v>
      </c>
      <c r="H33" s="116"/>
      <c r="I33" s="116">
        <v>15000</v>
      </c>
      <c r="J33" s="116"/>
      <c r="K33" s="116"/>
      <c r="L33" s="116"/>
      <c r="M33" s="116">
        <f>SUM(N33,P33,Q33)</f>
        <v>100000</v>
      </c>
      <c r="N33" s="116">
        <v>100000</v>
      </c>
      <c r="O33" s="116"/>
      <c r="P33" s="116"/>
      <c r="Q33" s="116"/>
    </row>
    <row r="34" spans="1:17" ht="12.75">
      <c r="A34" s="348"/>
      <c r="B34" s="115" t="s">
        <v>213</v>
      </c>
      <c r="C34" s="116">
        <f t="shared" si="15"/>
        <v>579600</v>
      </c>
      <c r="D34" s="116">
        <f t="shared" si="16"/>
        <v>579600</v>
      </c>
      <c r="E34" s="116">
        <f>SUM(F34:G34)</f>
        <v>578300</v>
      </c>
      <c r="F34" s="116">
        <v>464700</v>
      </c>
      <c r="G34" s="116">
        <f>114900-1300</f>
        <v>113600</v>
      </c>
      <c r="H34" s="116"/>
      <c r="I34" s="116">
        <v>1300</v>
      </c>
      <c r="J34" s="116"/>
      <c r="K34" s="116"/>
      <c r="L34" s="116"/>
      <c r="M34" s="116">
        <f>SUM(N34,P34,Q34)</f>
        <v>0</v>
      </c>
      <c r="N34" s="116"/>
      <c r="O34" s="116"/>
      <c r="P34" s="116"/>
      <c r="Q34" s="116"/>
    </row>
    <row r="35" spans="1:17" ht="12.75">
      <c r="A35" s="348"/>
      <c r="B35" s="115" t="s">
        <v>214</v>
      </c>
      <c r="C35" s="116">
        <f t="shared" si="15"/>
        <v>25000</v>
      </c>
      <c r="D35" s="116">
        <f t="shared" si="16"/>
        <v>25000</v>
      </c>
      <c r="E35" s="116">
        <f>SUM(F35:G35)</f>
        <v>25000</v>
      </c>
      <c r="F35" s="116"/>
      <c r="G35" s="116">
        <v>25000</v>
      </c>
      <c r="H35" s="116"/>
      <c r="I35" s="116"/>
      <c r="J35" s="116"/>
      <c r="K35" s="116"/>
      <c r="L35" s="116"/>
      <c r="M35" s="116">
        <f>SUM(N35,P35,Q35)</f>
        <v>0</v>
      </c>
      <c r="N35" s="116"/>
      <c r="O35" s="116"/>
      <c r="P35" s="116"/>
      <c r="Q35" s="116"/>
    </row>
    <row r="36" spans="1:17" ht="12.75">
      <c r="A36" s="348"/>
      <c r="B36" s="115" t="s">
        <v>215</v>
      </c>
      <c r="C36" s="116">
        <f t="shared" si="15"/>
        <v>185000</v>
      </c>
      <c r="D36" s="116">
        <f t="shared" si="16"/>
        <v>185000</v>
      </c>
      <c r="E36" s="116">
        <f>SUM(F36:G36)</f>
        <v>185000</v>
      </c>
      <c r="F36" s="116"/>
      <c r="G36" s="116">
        <v>185000</v>
      </c>
      <c r="H36" s="116"/>
      <c r="I36" s="116"/>
      <c r="J36" s="116"/>
      <c r="K36" s="116"/>
      <c r="L36" s="116"/>
      <c r="M36" s="116">
        <f>SUM(N36,P36,Q36)</f>
        <v>0</v>
      </c>
      <c r="N36" s="116"/>
      <c r="O36" s="116"/>
      <c r="P36" s="116"/>
      <c r="Q36" s="116"/>
    </row>
    <row r="37" spans="1:17" s="85" customFormat="1" ht="12.75">
      <c r="A37" s="113" t="s">
        <v>216</v>
      </c>
      <c r="B37" s="113"/>
      <c r="C37" s="114">
        <f>SUM(C38)</f>
        <v>9109500</v>
      </c>
      <c r="D37" s="114">
        <f aca="true" t="shared" si="17" ref="D37:Q37">SUM(D38)</f>
        <v>252000</v>
      </c>
      <c r="E37" s="114">
        <f t="shared" si="17"/>
        <v>252000</v>
      </c>
      <c r="F37" s="114">
        <f t="shared" si="17"/>
        <v>0</v>
      </c>
      <c r="G37" s="114">
        <f t="shared" si="17"/>
        <v>252000</v>
      </c>
      <c r="H37" s="114">
        <f t="shared" si="17"/>
        <v>0</v>
      </c>
      <c r="I37" s="114">
        <f t="shared" si="17"/>
        <v>0</v>
      </c>
      <c r="J37" s="114">
        <f t="shared" si="17"/>
        <v>0</v>
      </c>
      <c r="K37" s="114">
        <f t="shared" si="17"/>
        <v>0</v>
      </c>
      <c r="L37" s="114">
        <f t="shared" si="17"/>
        <v>0</v>
      </c>
      <c r="M37" s="114">
        <f t="shared" si="17"/>
        <v>8857500</v>
      </c>
      <c r="N37" s="114">
        <f t="shared" si="17"/>
        <v>8857500</v>
      </c>
      <c r="O37" s="114">
        <f t="shared" si="17"/>
        <v>8807500</v>
      </c>
      <c r="P37" s="114">
        <f t="shared" si="17"/>
        <v>0</v>
      </c>
      <c r="Q37" s="114">
        <f t="shared" si="17"/>
        <v>0</v>
      </c>
    </row>
    <row r="38" spans="1:17" ht="12.75">
      <c r="A38" s="115"/>
      <c r="B38" s="115" t="s">
        <v>217</v>
      </c>
      <c r="C38" s="116">
        <f t="shared" si="15"/>
        <v>9109500</v>
      </c>
      <c r="D38" s="116">
        <f t="shared" si="16"/>
        <v>252000</v>
      </c>
      <c r="E38" s="116">
        <f>SUM(F38:G38)</f>
        <v>252000</v>
      </c>
      <c r="F38" s="116"/>
      <c r="G38" s="116">
        <v>252000</v>
      </c>
      <c r="H38" s="116"/>
      <c r="I38" s="116"/>
      <c r="J38" s="116"/>
      <c r="K38" s="116"/>
      <c r="L38" s="116"/>
      <c r="M38" s="116">
        <f>SUM(N38,P38,Q38)</f>
        <v>8857500</v>
      </c>
      <c r="N38" s="116">
        <v>8857500</v>
      </c>
      <c r="O38" s="116">
        <v>8807500</v>
      </c>
      <c r="P38" s="116"/>
      <c r="Q38" s="116"/>
    </row>
    <row r="39" spans="1:17" s="85" customFormat="1" ht="12.75">
      <c r="A39" s="113" t="s">
        <v>218</v>
      </c>
      <c r="B39" s="113"/>
      <c r="C39" s="114">
        <f>SUM(C40)</f>
        <v>5895746</v>
      </c>
      <c r="D39" s="114">
        <f>SUM(D40)</f>
        <v>5159746</v>
      </c>
      <c r="E39" s="114">
        <f>SUM(E40)</f>
        <v>0</v>
      </c>
      <c r="F39" s="114">
        <f aca="true" t="shared" si="18" ref="F39:Q39">SUM(F40)</f>
        <v>0</v>
      </c>
      <c r="G39" s="114">
        <f t="shared" si="18"/>
        <v>0</v>
      </c>
      <c r="H39" s="114">
        <f t="shared" si="18"/>
        <v>0</v>
      </c>
      <c r="I39" s="114">
        <f t="shared" si="18"/>
        <v>0</v>
      </c>
      <c r="J39" s="114">
        <f t="shared" si="18"/>
        <v>5159746</v>
      </c>
      <c r="K39" s="114">
        <f t="shared" si="18"/>
        <v>0</v>
      </c>
      <c r="L39" s="114">
        <f t="shared" si="18"/>
        <v>0</v>
      </c>
      <c r="M39" s="114">
        <f t="shared" si="18"/>
        <v>736000</v>
      </c>
      <c r="N39" s="114">
        <f t="shared" si="18"/>
        <v>736000</v>
      </c>
      <c r="O39" s="114">
        <f t="shared" si="18"/>
        <v>736000</v>
      </c>
      <c r="P39" s="114">
        <f t="shared" si="18"/>
        <v>0</v>
      </c>
      <c r="Q39" s="114">
        <f t="shared" si="18"/>
        <v>0</v>
      </c>
    </row>
    <row r="40" spans="1:17" ht="12.75">
      <c r="A40" s="115"/>
      <c r="B40" s="115" t="s">
        <v>219</v>
      </c>
      <c r="C40" s="116">
        <f t="shared" si="15"/>
        <v>5895746</v>
      </c>
      <c r="D40" s="116">
        <f t="shared" si="16"/>
        <v>5159746</v>
      </c>
      <c r="E40" s="116">
        <f>SUM(F40:G40)</f>
        <v>0</v>
      </c>
      <c r="F40" s="116"/>
      <c r="G40" s="116"/>
      <c r="H40" s="116"/>
      <c r="I40" s="116"/>
      <c r="J40" s="116">
        <v>5159746</v>
      </c>
      <c r="K40" s="116"/>
      <c r="L40" s="116"/>
      <c r="M40" s="116">
        <f>SUM(N40,P40,Q40)</f>
        <v>736000</v>
      </c>
      <c r="N40" s="116">
        <v>736000</v>
      </c>
      <c r="O40" s="116">
        <v>736000</v>
      </c>
      <c r="P40" s="116"/>
      <c r="Q40" s="116"/>
    </row>
    <row r="41" spans="1:17" s="85" customFormat="1" ht="12.75">
      <c r="A41" s="113" t="s">
        <v>220</v>
      </c>
      <c r="B41" s="113"/>
      <c r="C41" s="114">
        <f>SUM(C42,C45,C46,C53,C54,C55,C59)</f>
        <v>83999934</v>
      </c>
      <c r="D41" s="114">
        <f aca="true" t="shared" si="19" ref="D41:Q41">SUM(D42,D45,D46,D53,D54,D55,D59)</f>
        <v>70342034</v>
      </c>
      <c r="E41" s="114">
        <f t="shared" si="19"/>
        <v>47783656</v>
      </c>
      <c r="F41" s="114">
        <f t="shared" si="19"/>
        <v>31063370</v>
      </c>
      <c r="G41" s="114">
        <f t="shared" si="19"/>
        <v>16720286</v>
      </c>
      <c r="H41" s="114">
        <f t="shared" si="19"/>
        <v>607000</v>
      </c>
      <c r="I41" s="114">
        <f t="shared" si="19"/>
        <v>875000</v>
      </c>
      <c r="J41" s="114">
        <f t="shared" si="19"/>
        <v>21076378</v>
      </c>
      <c r="K41" s="114">
        <f t="shared" si="19"/>
        <v>0</v>
      </c>
      <c r="L41" s="114">
        <f t="shared" si="19"/>
        <v>0</v>
      </c>
      <c r="M41" s="114">
        <f t="shared" si="19"/>
        <v>13657900</v>
      </c>
      <c r="N41" s="114">
        <f t="shared" si="19"/>
        <v>10539000</v>
      </c>
      <c r="O41" s="114">
        <f>SUM(O42,O45,O46,O53,O54,O55,O59)</f>
        <v>4769000</v>
      </c>
      <c r="P41" s="114">
        <f t="shared" si="19"/>
        <v>3118900</v>
      </c>
      <c r="Q41" s="114">
        <f t="shared" si="19"/>
        <v>0</v>
      </c>
    </row>
    <row r="42" spans="1:17" ht="12.75">
      <c r="A42" s="348"/>
      <c r="B42" s="115" t="s">
        <v>221</v>
      </c>
      <c r="C42" s="116">
        <f>SUM(C43:C44)</f>
        <v>1372119</v>
      </c>
      <c r="D42" s="116">
        <f aca="true" t="shared" si="20" ref="D42:Q42">SUM(D43:D44)</f>
        <v>1372119</v>
      </c>
      <c r="E42" s="116">
        <f>SUM(E43:E44)</f>
        <v>1185119</v>
      </c>
      <c r="F42" s="116">
        <f t="shared" si="20"/>
        <v>1068919</v>
      </c>
      <c r="G42" s="116">
        <f t="shared" si="20"/>
        <v>116200</v>
      </c>
      <c r="H42" s="116">
        <f t="shared" si="20"/>
        <v>187000</v>
      </c>
      <c r="I42" s="116">
        <f t="shared" si="20"/>
        <v>0</v>
      </c>
      <c r="J42" s="116">
        <f t="shared" si="20"/>
        <v>0</v>
      </c>
      <c r="K42" s="116">
        <f t="shared" si="20"/>
        <v>0</v>
      </c>
      <c r="L42" s="116">
        <f t="shared" si="20"/>
        <v>0</v>
      </c>
      <c r="M42" s="116">
        <f t="shared" si="20"/>
        <v>0</v>
      </c>
      <c r="N42" s="116">
        <f t="shared" si="20"/>
        <v>0</v>
      </c>
      <c r="O42" s="116">
        <f t="shared" si="20"/>
        <v>0</v>
      </c>
      <c r="P42" s="116">
        <f t="shared" si="20"/>
        <v>0</v>
      </c>
      <c r="Q42" s="116">
        <f t="shared" si="20"/>
        <v>0</v>
      </c>
    </row>
    <row r="43" spans="1:17" s="120" customFormat="1" ht="12.75" hidden="1">
      <c r="A43" s="348"/>
      <c r="B43" s="117" t="s">
        <v>222</v>
      </c>
      <c r="C43" s="119">
        <f aca="true" t="shared" si="21" ref="C43:C64">SUM(D43,M43)</f>
        <v>187000</v>
      </c>
      <c r="D43" s="119">
        <f aca="true" t="shared" si="22" ref="D43:D64">SUM(E43,L43,K43,J43,I43,H43)</f>
        <v>187000</v>
      </c>
      <c r="E43" s="119">
        <f>SUM(F43:G43)</f>
        <v>0</v>
      </c>
      <c r="F43" s="119"/>
      <c r="G43" s="119"/>
      <c r="H43" s="119">
        <v>187000</v>
      </c>
      <c r="I43" s="119"/>
      <c r="J43" s="119"/>
      <c r="K43" s="119"/>
      <c r="L43" s="119"/>
      <c r="M43" s="119">
        <f>SUM(N43,P43,Q43)</f>
        <v>0</v>
      </c>
      <c r="N43" s="119"/>
      <c r="O43" s="119"/>
      <c r="P43" s="119"/>
      <c r="Q43" s="119"/>
    </row>
    <row r="44" spans="1:17" s="120" customFormat="1" ht="12.75" hidden="1">
      <c r="A44" s="348"/>
      <c r="B44" s="117" t="s">
        <v>223</v>
      </c>
      <c r="C44" s="119">
        <f t="shared" si="21"/>
        <v>1185119</v>
      </c>
      <c r="D44" s="119">
        <f t="shared" si="22"/>
        <v>1185119</v>
      </c>
      <c r="E44" s="119">
        <f>SUM(F44:G44)</f>
        <v>1185119</v>
      </c>
      <c r="F44" s="119">
        <v>1068919</v>
      </c>
      <c r="G44" s="119">
        <v>116200</v>
      </c>
      <c r="H44" s="119"/>
      <c r="I44" s="119"/>
      <c r="J44" s="119"/>
      <c r="K44" s="119"/>
      <c r="L44" s="119"/>
      <c r="M44" s="119">
        <f>SUM(N44,P44,Q44)</f>
        <v>0</v>
      </c>
      <c r="N44" s="119"/>
      <c r="O44" s="119"/>
      <c r="P44" s="119"/>
      <c r="Q44" s="119"/>
    </row>
    <row r="45" spans="1:17" s="120" customFormat="1" ht="12.75">
      <c r="A45" s="348"/>
      <c r="B45" s="121" t="s">
        <v>224</v>
      </c>
      <c r="C45" s="122">
        <f t="shared" si="21"/>
        <v>1155000</v>
      </c>
      <c r="D45" s="122">
        <f t="shared" si="22"/>
        <v>1155000</v>
      </c>
      <c r="E45" s="122">
        <f>SUM(F45:G45)</f>
        <v>330000</v>
      </c>
      <c r="F45" s="122">
        <v>10000</v>
      </c>
      <c r="G45" s="122">
        <v>320000</v>
      </c>
      <c r="H45" s="122"/>
      <c r="I45" s="122">
        <v>825000</v>
      </c>
      <c r="J45" s="122"/>
      <c r="K45" s="122"/>
      <c r="L45" s="122"/>
      <c r="M45" s="122">
        <f aca="true" t="shared" si="23" ref="M45:M115">SUM(N45,P45,Q45)</f>
        <v>0</v>
      </c>
      <c r="N45" s="122"/>
      <c r="O45" s="122"/>
      <c r="P45" s="122"/>
      <c r="Q45" s="122"/>
    </row>
    <row r="46" spans="1:17" s="120" customFormat="1" ht="16.5" customHeight="1">
      <c r="A46" s="348"/>
      <c r="B46" s="121" t="s">
        <v>225</v>
      </c>
      <c r="C46" s="122">
        <f>SUM(C47:C52)</f>
        <v>69395237</v>
      </c>
      <c r="D46" s="122">
        <f>SUM(D47:D52)</f>
        <v>59118237</v>
      </c>
      <c r="E46" s="122">
        <f>SUM(E47:E52)</f>
        <v>38487082</v>
      </c>
      <c r="F46" s="122">
        <f aca="true" t="shared" si="24" ref="F46:Q46">SUM(F47:F52)</f>
        <v>29839396</v>
      </c>
      <c r="G46" s="122">
        <f t="shared" si="24"/>
        <v>8647686</v>
      </c>
      <c r="H46" s="122">
        <f t="shared" si="24"/>
        <v>0</v>
      </c>
      <c r="I46" s="122">
        <f t="shared" si="24"/>
        <v>50000</v>
      </c>
      <c r="J46" s="122">
        <f t="shared" si="24"/>
        <v>20581155</v>
      </c>
      <c r="K46" s="122">
        <f t="shared" si="24"/>
        <v>0</v>
      </c>
      <c r="L46" s="122">
        <f t="shared" si="24"/>
        <v>0</v>
      </c>
      <c r="M46" s="122">
        <f t="shared" si="24"/>
        <v>10277000</v>
      </c>
      <c r="N46" s="122">
        <f t="shared" si="24"/>
        <v>10277000</v>
      </c>
      <c r="O46" s="122">
        <f t="shared" si="24"/>
        <v>4769000</v>
      </c>
      <c r="P46" s="122">
        <f t="shared" si="24"/>
        <v>0</v>
      </c>
      <c r="Q46" s="122">
        <f t="shared" si="24"/>
        <v>0</v>
      </c>
    </row>
    <row r="47" spans="1:17" s="120" customFormat="1" ht="12.75" hidden="1">
      <c r="A47" s="348"/>
      <c r="B47" s="117" t="s">
        <v>226</v>
      </c>
      <c r="C47" s="119">
        <f>SUM(D47,M47)</f>
        <v>2812246</v>
      </c>
      <c r="D47" s="119">
        <f>SUM(E47,L47,K47,J47,I47,H47)</f>
        <v>2812246</v>
      </c>
      <c r="E47" s="119">
        <f aca="true" t="shared" si="25" ref="E47:E54">SUM(F47:G47)</f>
        <v>0</v>
      </c>
      <c r="F47" s="119"/>
      <c r="G47" s="119"/>
      <c r="H47" s="119"/>
      <c r="I47" s="119"/>
      <c r="J47" s="119">
        <v>2812246</v>
      </c>
      <c r="K47" s="119"/>
      <c r="L47" s="119"/>
      <c r="M47" s="119">
        <f t="shared" si="23"/>
        <v>0</v>
      </c>
      <c r="N47" s="119"/>
      <c r="O47" s="119"/>
      <c r="P47" s="119"/>
      <c r="Q47" s="119"/>
    </row>
    <row r="48" spans="1:17" s="120" customFormat="1" ht="8.25" customHeight="1" hidden="1">
      <c r="A48" s="348"/>
      <c r="B48" s="117" t="s">
        <v>227</v>
      </c>
      <c r="C48" s="119">
        <f t="shared" si="21"/>
        <v>845155</v>
      </c>
      <c r="D48" s="119">
        <f t="shared" si="22"/>
        <v>825155</v>
      </c>
      <c r="E48" s="119">
        <f t="shared" si="25"/>
        <v>0</v>
      </c>
      <c r="F48" s="119"/>
      <c r="G48" s="119"/>
      <c r="H48" s="119"/>
      <c r="I48" s="119"/>
      <c r="J48" s="119">
        <v>825155</v>
      </c>
      <c r="K48" s="119"/>
      <c r="L48" s="119"/>
      <c r="M48" s="119">
        <f t="shared" si="23"/>
        <v>20000</v>
      </c>
      <c r="N48" s="119">
        <v>20000</v>
      </c>
      <c r="O48" s="119">
        <v>20000</v>
      </c>
      <c r="P48" s="119"/>
      <c r="Q48" s="119"/>
    </row>
    <row r="49" spans="1:17" s="120" customFormat="1" ht="12.75" hidden="1">
      <c r="A49" s="348"/>
      <c r="B49" s="117" t="s">
        <v>223</v>
      </c>
      <c r="C49" s="119">
        <f t="shared" si="21"/>
        <v>59536082</v>
      </c>
      <c r="D49" s="119">
        <f>SUM(E49,L49,K49,J49,I49,H49)</f>
        <v>52771082</v>
      </c>
      <c r="E49" s="119">
        <f t="shared" si="25"/>
        <v>38487082</v>
      </c>
      <c r="F49" s="119">
        <v>29839396</v>
      </c>
      <c r="G49" s="119">
        <f>8697686-50000</f>
        <v>8647686</v>
      </c>
      <c r="H49" s="119"/>
      <c r="I49" s="119">
        <v>50000</v>
      </c>
      <c r="J49" s="119">
        <v>14234000</v>
      </c>
      <c r="K49" s="119"/>
      <c r="L49" s="119"/>
      <c r="M49" s="119">
        <f t="shared" si="23"/>
        <v>6765000</v>
      </c>
      <c r="N49" s="119">
        <v>6765000</v>
      </c>
      <c r="O49" s="119">
        <v>4749000</v>
      </c>
      <c r="P49" s="119"/>
      <c r="Q49" s="119"/>
    </row>
    <row r="50" spans="1:17" s="120" customFormat="1" ht="12.75" hidden="1">
      <c r="A50" s="348"/>
      <c r="B50" s="117" t="s">
        <v>228</v>
      </c>
      <c r="C50" s="119">
        <f t="shared" si="21"/>
        <v>1500000</v>
      </c>
      <c r="D50" s="119">
        <f t="shared" si="22"/>
        <v>1500000</v>
      </c>
      <c r="E50" s="119">
        <f t="shared" si="25"/>
        <v>0</v>
      </c>
      <c r="F50" s="119"/>
      <c r="G50" s="119"/>
      <c r="H50" s="119"/>
      <c r="I50" s="119"/>
      <c r="J50" s="119">
        <v>1500000</v>
      </c>
      <c r="K50" s="119"/>
      <c r="L50" s="119"/>
      <c r="M50" s="119">
        <f t="shared" si="23"/>
        <v>0</v>
      </c>
      <c r="N50" s="119"/>
      <c r="O50" s="119"/>
      <c r="P50" s="119"/>
      <c r="Q50" s="119"/>
    </row>
    <row r="51" spans="1:17" s="120" customFormat="1" ht="12.75" hidden="1">
      <c r="A51" s="348"/>
      <c r="B51" s="117" t="s">
        <v>229</v>
      </c>
      <c r="C51" s="119">
        <f t="shared" si="21"/>
        <v>1209754</v>
      </c>
      <c r="D51" s="119">
        <f t="shared" si="22"/>
        <v>1209754</v>
      </c>
      <c r="E51" s="119">
        <f t="shared" si="25"/>
        <v>0</v>
      </c>
      <c r="F51" s="119"/>
      <c r="G51" s="119"/>
      <c r="H51" s="119"/>
      <c r="I51" s="119"/>
      <c r="J51" s="119">
        <v>1209754</v>
      </c>
      <c r="K51" s="119"/>
      <c r="L51" s="119"/>
      <c r="M51" s="119">
        <f t="shared" si="23"/>
        <v>0</v>
      </c>
      <c r="N51" s="119"/>
      <c r="O51" s="119"/>
      <c r="P51" s="119"/>
      <c r="Q51" s="119"/>
    </row>
    <row r="52" spans="1:17" s="120" customFormat="1" ht="12.75" hidden="1">
      <c r="A52" s="348"/>
      <c r="B52" s="117" t="s">
        <v>205</v>
      </c>
      <c r="C52" s="119">
        <f t="shared" si="21"/>
        <v>3492000</v>
      </c>
      <c r="D52" s="119">
        <f t="shared" si="22"/>
        <v>0</v>
      </c>
      <c r="E52" s="119">
        <f t="shared" si="25"/>
        <v>0</v>
      </c>
      <c r="F52" s="119"/>
      <c r="G52" s="119"/>
      <c r="H52" s="119"/>
      <c r="I52" s="119"/>
      <c r="J52" s="119"/>
      <c r="K52" s="119"/>
      <c r="L52" s="119"/>
      <c r="M52" s="119">
        <f t="shared" si="23"/>
        <v>3492000</v>
      </c>
      <c r="N52" s="119">
        <v>3492000</v>
      </c>
      <c r="O52" s="119"/>
      <c r="P52" s="119"/>
      <c r="Q52" s="119"/>
    </row>
    <row r="53" spans="1:17" s="120" customFormat="1" ht="12.75">
      <c r="A53" s="348"/>
      <c r="B53" s="121" t="s">
        <v>230</v>
      </c>
      <c r="C53" s="116">
        <f>SUM(D53,M53)</f>
        <v>60000</v>
      </c>
      <c r="D53" s="116">
        <f t="shared" si="22"/>
        <v>60000</v>
      </c>
      <c r="E53" s="116">
        <f t="shared" si="25"/>
        <v>60000</v>
      </c>
      <c r="F53" s="122">
        <v>47450</v>
      </c>
      <c r="G53" s="122">
        <v>12550</v>
      </c>
      <c r="H53" s="122"/>
      <c r="I53" s="122"/>
      <c r="J53" s="122"/>
      <c r="K53" s="122"/>
      <c r="L53" s="122"/>
      <c r="M53" s="122">
        <f t="shared" si="23"/>
        <v>0</v>
      </c>
      <c r="N53" s="122"/>
      <c r="O53" s="122"/>
      <c r="P53" s="122"/>
      <c r="Q53" s="122"/>
    </row>
    <row r="54" spans="1:17" s="120" customFormat="1" ht="12.75">
      <c r="A54" s="348"/>
      <c r="B54" s="121" t="s">
        <v>231</v>
      </c>
      <c r="C54" s="116">
        <f t="shared" si="21"/>
        <v>296000</v>
      </c>
      <c r="D54" s="116">
        <f t="shared" si="22"/>
        <v>296000</v>
      </c>
      <c r="E54" s="116">
        <f t="shared" si="25"/>
        <v>0</v>
      </c>
      <c r="F54" s="122"/>
      <c r="G54" s="122"/>
      <c r="H54" s="122"/>
      <c r="I54" s="122"/>
      <c r="J54" s="122">
        <v>296000</v>
      </c>
      <c r="K54" s="122"/>
      <c r="L54" s="122"/>
      <c r="M54" s="122">
        <f t="shared" si="23"/>
        <v>0</v>
      </c>
      <c r="N54" s="122"/>
      <c r="O54" s="122"/>
      <c r="P54" s="122"/>
      <c r="Q54" s="122"/>
    </row>
    <row r="55" spans="1:17" s="120" customFormat="1" ht="12.75">
      <c r="A55" s="348"/>
      <c r="B55" s="121" t="s">
        <v>232</v>
      </c>
      <c r="C55" s="116">
        <f>SUM(C56:C58)</f>
        <v>7097428</v>
      </c>
      <c r="D55" s="116">
        <f aca="true" t="shared" si="26" ref="D55:Q55">SUM(D56:D58)</f>
        <v>6835428</v>
      </c>
      <c r="E55" s="116">
        <f>SUM(E56:E58)</f>
        <v>6368805</v>
      </c>
      <c r="F55" s="116">
        <f t="shared" si="26"/>
        <v>36975</v>
      </c>
      <c r="G55" s="116">
        <f t="shared" si="26"/>
        <v>6331830</v>
      </c>
      <c r="H55" s="116">
        <f t="shared" si="26"/>
        <v>300000</v>
      </c>
      <c r="I55" s="116">
        <f t="shared" si="26"/>
        <v>0</v>
      </c>
      <c r="J55" s="116">
        <f t="shared" si="26"/>
        <v>166623</v>
      </c>
      <c r="K55" s="116">
        <f t="shared" si="26"/>
        <v>0</v>
      </c>
      <c r="L55" s="116">
        <f t="shared" si="26"/>
        <v>0</v>
      </c>
      <c r="M55" s="116">
        <f t="shared" si="26"/>
        <v>262000</v>
      </c>
      <c r="N55" s="116">
        <f t="shared" si="26"/>
        <v>262000</v>
      </c>
      <c r="O55" s="116">
        <f t="shared" si="26"/>
        <v>0</v>
      </c>
      <c r="P55" s="116">
        <f t="shared" si="26"/>
        <v>0</v>
      </c>
      <c r="Q55" s="116">
        <f t="shared" si="26"/>
        <v>0</v>
      </c>
    </row>
    <row r="56" spans="1:17" s="120" customFormat="1" ht="12.75" hidden="1">
      <c r="A56" s="348"/>
      <c r="B56" s="117" t="s">
        <v>233</v>
      </c>
      <c r="C56" s="119">
        <f t="shared" si="21"/>
        <v>435000</v>
      </c>
      <c r="D56" s="119">
        <f t="shared" si="22"/>
        <v>435000</v>
      </c>
      <c r="E56" s="119">
        <f>SUM(F56:G56)</f>
        <v>135000</v>
      </c>
      <c r="F56" s="119"/>
      <c r="G56" s="119">
        <v>135000</v>
      </c>
      <c r="H56" s="119">
        <v>300000</v>
      </c>
      <c r="I56" s="119"/>
      <c r="J56" s="119"/>
      <c r="K56" s="119"/>
      <c r="L56" s="119"/>
      <c r="M56" s="119">
        <f t="shared" si="23"/>
        <v>0</v>
      </c>
      <c r="N56" s="119"/>
      <c r="O56" s="119"/>
      <c r="P56" s="119"/>
      <c r="Q56" s="119"/>
    </row>
    <row r="57" spans="1:17" s="120" customFormat="1" ht="12.75" hidden="1">
      <c r="A57" s="348"/>
      <c r="B57" s="117" t="s">
        <v>234</v>
      </c>
      <c r="C57" s="119">
        <f t="shared" si="21"/>
        <v>294805</v>
      </c>
      <c r="D57" s="119">
        <f t="shared" si="22"/>
        <v>294805</v>
      </c>
      <c r="E57" s="119">
        <f>SUM(F57:G57)</f>
        <v>294805</v>
      </c>
      <c r="F57" s="119"/>
      <c r="G57" s="119">
        <v>294805</v>
      </c>
      <c r="H57" s="119"/>
      <c r="I57" s="119"/>
      <c r="J57" s="119"/>
      <c r="K57" s="119"/>
      <c r="L57" s="119"/>
      <c r="M57" s="119">
        <f t="shared" si="23"/>
        <v>0</v>
      </c>
      <c r="N57" s="119"/>
      <c r="O57" s="119"/>
      <c r="P57" s="119"/>
      <c r="Q57" s="119"/>
    </row>
    <row r="58" spans="1:17" s="120" customFormat="1" ht="15" customHeight="1" hidden="1">
      <c r="A58" s="348"/>
      <c r="B58" s="117" t="s">
        <v>235</v>
      </c>
      <c r="C58" s="119">
        <f>SUM(D58,M58)</f>
        <v>6367623</v>
      </c>
      <c r="D58" s="119">
        <f t="shared" si="22"/>
        <v>6105623</v>
      </c>
      <c r="E58" s="119">
        <f>SUM(F58:G58)</f>
        <v>5939000</v>
      </c>
      <c r="F58" s="119">
        <v>36975</v>
      </c>
      <c r="G58" s="119">
        <f>6902025-1000000</f>
        <v>5902025</v>
      </c>
      <c r="H58" s="119"/>
      <c r="I58" s="119"/>
      <c r="J58" s="119">
        <v>166623</v>
      </c>
      <c r="K58" s="119"/>
      <c r="L58" s="119"/>
      <c r="M58" s="119">
        <f t="shared" si="23"/>
        <v>262000</v>
      </c>
      <c r="N58" s="119">
        <v>262000</v>
      </c>
      <c r="O58" s="119"/>
      <c r="P58" s="119"/>
      <c r="Q58" s="119"/>
    </row>
    <row r="59" spans="1:17" s="120" customFormat="1" ht="12.75">
      <c r="A59" s="348"/>
      <c r="B59" s="121" t="s">
        <v>236</v>
      </c>
      <c r="C59" s="116">
        <f>SUM(C60:C64)</f>
        <v>4624150</v>
      </c>
      <c r="D59" s="116">
        <f aca="true" t="shared" si="27" ref="D59:Q59">SUM(D60:D64)</f>
        <v>1505250</v>
      </c>
      <c r="E59" s="116">
        <f>SUM(E60:E64)</f>
        <v>1352650</v>
      </c>
      <c r="F59" s="116">
        <f t="shared" si="27"/>
        <v>60630</v>
      </c>
      <c r="G59" s="116">
        <f t="shared" si="27"/>
        <v>1292020</v>
      </c>
      <c r="H59" s="116">
        <f t="shared" si="27"/>
        <v>120000</v>
      </c>
      <c r="I59" s="116">
        <f t="shared" si="27"/>
        <v>0</v>
      </c>
      <c r="J59" s="116">
        <f t="shared" si="27"/>
        <v>32600</v>
      </c>
      <c r="K59" s="116">
        <f t="shared" si="27"/>
        <v>0</v>
      </c>
      <c r="L59" s="116">
        <f t="shared" si="27"/>
        <v>0</v>
      </c>
      <c r="M59" s="116">
        <f t="shared" si="27"/>
        <v>3118900</v>
      </c>
      <c r="N59" s="116">
        <f t="shared" si="27"/>
        <v>0</v>
      </c>
      <c r="O59" s="116">
        <f t="shared" si="27"/>
        <v>0</v>
      </c>
      <c r="P59" s="116">
        <f t="shared" si="27"/>
        <v>3118900</v>
      </c>
      <c r="Q59" s="116">
        <f t="shared" si="27"/>
        <v>0</v>
      </c>
    </row>
    <row r="60" spans="1:17" s="120" customFormat="1" ht="12.75" hidden="1">
      <c r="A60" s="348"/>
      <c r="B60" s="117" t="s">
        <v>237</v>
      </c>
      <c r="C60" s="119">
        <f t="shared" si="21"/>
        <v>75000</v>
      </c>
      <c r="D60" s="119">
        <f t="shared" si="22"/>
        <v>75000</v>
      </c>
      <c r="E60" s="119">
        <f>SUM(F60:G60)</f>
        <v>75000</v>
      </c>
      <c r="F60" s="119"/>
      <c r="G60" s="119">
        <v>75000</v>
      </c>
      <c r="H60" s="119"/>
      <c r="I60" s="119"/>
      <c r="J60" s="119"/>
      <c r="K60" s="119"/>
      <c r="L60" s="119"/>
      <c r="M60" s="119">
        <f t="shared" si="23"/>
        <v>0</v>
      </c>
      <c r="N60" s="119"/>
      <c r="O60" s="119"/>
      <c r="P60" s="119"/>
      <c r="Q60" s="119"/>
    </row>
    <row r="61" spans="1:17" s="120" customFormat="1" ht="12.75" hidden="1">
      <c r="A61" s="348"/>
      <c r="B61" s="117" t="s">
        <v>222</v>
      </c>
      <c r="C61" s="119">
        <f t="shared" si="21"/>
        <v>4474150</v>
      </c>
      <c r="D61" s="119">
        <f t="shared" si="22"/>
        <v>1355250</v>
      </c>
      <c r="E61" s="119">
        <f>SUM(F61:G61)</f>
        <v>1202650</v>
      </c>
      <c r="F61" s="119">
        <v>60630</v>
      </c>
      <c r="G61" s="119">
        <v>1142020</v>
      </c>
      <c r="H61" s="119">
        <v>120000</v>
      </c>
      <c r="I61" s="119"/>
      <c r="J61" s="119">
        <v>32600</v>
      </c>
      <c r="K61" s="119"/>
      <c r="L61" s="119"/>
      <c r="M61" s="119">
        <f t="shared" si="23"/>
        <v>3118900</v>
      </c>
      <c r="N61" s="119"/>
      <c r="O61" s="119"/>
      <c r="P61" s="119">
        <v>3118900</v>
      </c>
      <c r="Q61" s="119"/>
    </row>
    <row r="62" spans="1:17" s="120" customFormat="1" ht="12.75" hidden="1">
      <c r="A62" s="348"/>
      <c r="B62" s="117" t="s">
        <v>228</v>
      </c>
      <c r="C62" s="119">
        <f t="shared" si="21"/>
        <v>5000</v>
      </c>
      <c r="D62" s="119">
        <f t="shared" si="22"/>
        <v>5000</v>
      </c>
      <c r="E62" s="119">
        <f>SUM(F62:G62)</f>
        <v>5000</v>
      </c>
      <c r="F62" s="119"/>
      <c r="G62" s="119">
        <v>5000</v>
      </c>
      <c r="H62" s="119"/>
      <c r="I62" s="119"/>
      <c r="J62" s="119"/>
      <c r="K62" s="119"/>
      <c r="L62" s="119"/>
      <c r="M62" s="119">
        <f t="shared" si="23"/>
        <v>0</v>
      </c>
      <c r="N62" s="119"/>
      <c r="O62" s="119"/>
      <c r="P62" s="119"/>
      <c r="Q62" s="119"/>
    </row>
    <row r="63" spans="1:17" s="120" customFormat="1" ht="12.75" hidden="1">
      <c r="A63" s="348"/>
      <c r="B63" s="117" t="s">
        <v>229</v>
      </c>
      <c r="C63" s="119">
        <f t="shared" si="21"/>
        <v>10000</v>
      </c>
      <c r="D63" s="119">
        <f t="shared" si="22"/>
        <v>10000</v>
      </c>
      <c r="E63" s="119">
        <f>SUM(F63:G63)</f>
        <v>10000</v>
      </c>
      <c r="F63" s="119"/>
      <c r="G63" s="119">
        <v>10000</v>
      </c>
      <c r="H63" s="119"/>
      <c r="I63" s="119"/>
      <c r="J63" s="119"/>
      <c r="K63" s="119"/>
      <c r="L63" s="119"/>
      <c r="M63" s="119">
        <f t="shared" si="23"/>
        <v>0</v>
      </c>
      <c r="N63" s="119"/>
      <c r="O63" s="119"/>
      <c r="P63" s="119"/>
      <c r="Q63" s="119"/>
    </row>
    <row r="64" spans="1:17" s="120" customFormat="1" ht="12.75" hidden="1">
      <c r="A64" s="348"/>
      <c r="B64" s="117" t="s">
        <v>205</v>
      </c>
      <c r="C64" s="119">
        <f t="shared" si="21"/>
        <v>60000</v>
      </c>
      <c r="D64" s="119">
        <f t="shared" si="22"/>
        <v>60000</v>
      </c>
      <c r="E64" s="119">
        <f>SUM(F64:G64)</f>
        <v>60000</v>
      </c>
      <c r="F64" s="119"/>
      <c r="G64" s="119">
        <v>60000</v>
      </c>
      <c r="H64" s="119"/>
      <c r="I64" s="119"/>
      <c r="J64" s="119"/>
      <c r="K64" s="119"/>
      <c r="L64" s="119"/>
      <c r="M64" s="119">
        <f t="shared" si="23"/>
        <v>0</v>
      </c>
      <c r="N64" s="119"/>
      <c r="O64" s="119"/>
      <c r="P64" s="119"/>
      <c r="Q64" s="119"/>
    </row>
    <row r="65" spans="1:17" s="85" customFormat="1" ht="12.75">
      <c r="A65" s="113" t="s">
        <v>238</v>
      </c>
      <c r="B65" s="113"/>
      <c r="C65" s="114">
        <f>SUM(C66)</f>
        <v>2500</v>
      </c>
      <c r="D65" s="114">
        <f>SUM(D66)</f>
        <v>2500</v>
      </c>
      <c r="E65" s="114">
        <f>SUM(E66)</f>
        <v>2500</v>
      </c>
      <c r="F65" s="114">
        <f aca="true" t="shared" si="28" ref="F65:Q65">SUM(F66)</f>
        <v>0</v>
      </c>
      <c r="G65" s="114">
        <f>SUM(G66)</f>
        <v>2500</v>
      </c>
      <c r="H65" s="114">
        <f t="shared" si="28"/>
        <v>0</v>
      </c>
      <c r="I65" s="114">
        <f t="shared" si="28"/>
        <v>0</v>
      </c>
      <c r="J65" s="114">
        <f t="shared" si="28"/>
        <v>0</v>
      </c>
      <c r="K65" s="114">
        <f t="shared" si="28"/>
        <v>0</v>
      </c>
      <c r="L65" s="114">
        <f t="shared" si="28"/>
        <v>0</v>
      </c>
      <c r="M65" s="114">
        <f t="shared" si="28"/>
        <v>0</v>
      </c>
      <c r="N65" s="114">
        <f t="shared" si="28"/>
        <v>0</v>
      </c>
      <c r="O65" s="114">
        <f t="shared" si="28"/>
        <v>0</v>
      </c>
      <c r="P65" s="114">
        <f t="shared" si="28"/>
        <v>0</v>
      </c>
      <c r="Q65" s="114">
        <f t="shared" si="28"/>
        <v>0</v>
      </c>
    </row>
    <row r="66" spans="1:17" ht="12.75">
      <c r="A66" s="115"/>
      <c r="B66" s="115" t="s">
        <v>239</v>
      </c>
      <c r="C66" s="116">
        <f>SUM(D66,M66)</f>
        <v>2500</v>
      </c>
      <c r="D66" s="116">
        <f>SUM(E66,L66,K66,J66,I66,H66)</f>
        <v>2500</v>
      </c>
      <c r="E66" s="116">
        <f>SUM(F66:G66)</f>
        <v>2500</v>
      </c>
      <c r="F66" s="116"/>
      <c r="G66" s="116">
        <v>2500</v>
      </c>
      <c r="H66" s="116"/>
      <c r="I66" s="116"/>
      <c r="J66" s="116"/>
      <c r="K66" s="116"/>
      <c r="L66" s="116"/>
      <c r="M66" s="116">
        <f t="shared" si="23"/>
        <v>0</v>
      </c>
      <c r="N66" s="116"/>
      <c r="O66" s="116"/>
      <c r="P66" s="116"/>
      <c r="Q66" s="116"/>
    </row>
    <row r="67" spans="1:17" ht="12.75">
      <c r="A67" s="113" t="s">
        <v>240</v>
      </c>
      <c r="B67" s="113"/>
      <c r="C67" s="114">
        <f>SUM(C68)</f>
        <v>200000</v>
      </c>
      <c r="D67" s="114">
        <f aca="true" t="shared" si="29" ref="D67:Q67">SUM(D68)</f>
        <v>200000</v>
      </c>
      <c r="E67" s="114">
        <f t="shared" si="29"/>
        <v>0</v>
      </c>
      <c r="F67" s="114">
        <f t="shared" si="29"/>
        <v>0</v>
      </c>
      <c r="G67" s="114">
        <f t="shared" si="29"/>
        <v>0</v>
      </c>
      <c r="H67" s="114">
        <f t="shared" si="29"/>
        <v>200000</v>
      </c>
      <c r="I67" s="114">
        <f t="shared" si="29"/>
        <v>0</v>
      </c>
      <c r="J67" s="114">
        <f t="shared" si="29"/>
        <v>0</v>
      </c>
      <c r="K67" s="114">
        <f t="shared" si="29"/>
        <v>0</v>
      </c>
      <c r="L67" s="114">
        <f t="shared" si="29"/>
        <v>0</v>
      </c>
      <c r="M67" s="114">
        <f t="shared" si="29"/>
        <v>0</v>
      </c>
      <c r="N67" s="114">
        <f t="shared" si="29"/>
        <v>0</v>
      </c>
      <c r="O67" s="114">
        <f t="shared" si="29"/>
        <v>0</v>
      </c>
      <c r="P67" s="114">
        <f t="shared" si="29"/>
        <v>0</v>
      </c>
      <c r="Q67" s="114">
        <f t="shared" si="29"/>
        <v>0</v>
      </c>
    </row>
    <row r="68" spans="1:17" ht="12.75">
      <c r="A68" s="115"/>
      <c r="B68" s="115" t="s">
        <v>241</v>
      </c>
      <c r="C68" s="116">
        <f>SUM(D68,M68)</f>
        <v>200000</v>
      </c>
      <c r="D68" s="116">
        <f>SUM(E68,L68,K68,J68,I68,H68)</f>
        <v>200000</v>
      </c>
      <c r="E68" s="116">
        <f>SUM(F68:G68)</f>
        <v>0</v>
      </c>
      <c r="F68" s="116"/>
      <c r="G68" s="116"/>
      <c r="H68" s="116">
        <v>200000</v>
      </c>
      <c r="I68" s="116"/>
      <c r="J68" s="116"/>
      <c r="K68" s="116"/>
      <c r="L68" s="116"/>
      <c r="M68" s="116">
        <f>SUM(N68,P68,Q68)</f>
        <v>0</v>
      </c>
      <c r="N68" s="116"/>
      <c r="O68" s="116"/>
      <c r="P68" s="116"/>
      <c r="Q68" s="116"/>
    </row>
    <row r="69" spans="1:17" s="85" customFormat="1" ht="12.75">
      <c r="A69" s="113" t="s">
        <v>242</v>
      </c>
      <c r="B69" s="113"/>
      <c r="C69" s="114">
        <f>SUM(C70:C71)</f>
        <v>15943851</v>
      </c>
      <c r="D69" s="114">
        <f aca="true" t="shared" si="30" ref="D69:Q69">SUM(D70:D71)</f>
        <v>15943851</v>
      </c>
      <c r="E69" s="114">
        <f t="shared" si="30"/>
        <v>0</v>
      </c>
      <c r="F69" s="114">
        <f t="shared" si="30"/>
        <v>0</v>
      </c>
      <c r="G69" s="114">
        <f t="shared" si="30"/>
        <v>0</v>
      </c>
      <c r="H69" s="114">
        <f t="shared" si="30"/>
        <v>0</v>
      </c>
      <c r="I69" s="114">
        <f t="shared" si="30"/>
        <v>0</v>
      </c>
      <c r="J69" s="114">
        <f t="shared" si="30"/>
        <v>0</v>
      </c>
      <c r="K69" s="114">
        <f t="shared" si="30"/>
        <v>7308851</v>
      </c>
      <c r="L69" s="114">
        <f t="shared" si="30"/>
        <v>8635000</v>
      </c>
      <c r="M69" s="114">
        <f t="shared" si="30"/>
        <v>0</v>
      </c>
      <c r="N69" s="114">
        <f t="shared" si="30"/>
        <v>0</v>
      </c>
      <c r="O69" s="114">
        <f t="shared" si="30"/>
        <v>0</v>
      </c>
      <c r="P69" s="114">
        <f t="shared" si="30"/>
        <v>0</v>
      </c>
      <c r="Q69" s="114">
        <f t="shared" si="30"/>
        <v>0</v>
      </c>
    </row>
    <row r="70" spans="1:17" ht="12.75">
      <c r="A70" s="348"/>
      <c r="B70" s="115" t="s">
        <v>243</v>
      </c>
      <c r="C70" s="116">
        <f>SUM(D70,M70)</f>
        <v>8635000</v>
      </c>
      <c r="D70" s="116">
        <f>SUM(E70,L70,K70,J70,I70,H70)</f>
        <v>8635000</v>
      </c>
      <c r="E70" s="116">
        <f>SUM(F70:G70)</f>
        <v>0</v>
      </c>
      <c r="F70" s="116"/>
      <c r="G70" s="116"/>
      <c r="H70" s="116"/>
      <c r="I70" s="116"/>
      <c r="J70" s="116"/>
      <c r="K70" s="116"/>
      <c r="L70" s="116">
        <v>8635000</v>
      </c>
      <c r="M70" s="116">
        <f t="shared" si="23"/>
        <v>0</v>
      </c>
      <c r="N70" s="116"/>
      <c r="O70" s="116"/>
      <c r="P70" s="116"/>
      <c r="Q70" s="116"/>
    </row>
    <row r="71" spans="1:17" ht="12.75">
      <c r="A71" s="348"/>
      <c r="B71" s="115" t="s">
        <v>244</v>
      </c>
      <c r="C71" s="116">
        <f>SUM(D71,M71)</f>
        <v>7308851</v>
      </c>
      <c r="D71" s="116">
        <f>SUM(E71,L71,K71,J71,I71,H71)</f>
        <v>7308851</v>
      </c>
      <c r="E71" s="116">
        <f>SUM(F71:G71)</f>
        <v>0</v>
      </c>
      <c r="F71" s="116"/>
      <c r="G71" s="116"/>
      <c r="H71" s="116"/>
      <c r="I71" s="116"/>
      <c r="J71" s="116"/>
      <c r="K71" s="116">
        <v>7308851</v>
      </c>
      <c r="L71" s="116"/>
      <c r="M71" s="116">
        <f t="shared" si="23"/>
        <v>0</v>
      </c>
      <c r="N71" s="116"/>
      <c r="O71" s="116"/>
      <c r="P71" s="116"/>
      <c r="Q71" s="116"/>
    </row>
    <row r="72" spans="1:17" s="85" customFormat="1" ht="12.75">
      <c r="A72" s="113" t="s">
        <v>245</v>
      </c>
      <c r="B72" s="113"/>
      <c r="C72" s="114">
        <f>SUM(C73)</f>
        <v>4080299</v>
      </c>
      <c r="D72" s="114">
        <f aca="true" t="shared" si="31" ref="D72:Q72">SUM(D73)</f>
        <v>4080299</v>
      </c>
      <c r="E72" s="114">
        <f t="shared" si="31"/>
        <v>3680299</v>
      </c>
      <c r="F72" s="114">
        <f t="shared" si="31"/>
        <v>0</v>
      </c>
      <c r="G72" s="114">
        <f t="shared" si="31"/>
        <v>3680299</v>
      </c>
      <c r="H72" s="114">
        <f t="shared" si="31"/>
        <v>0</v>
      </c>
      <c r="I72" s="114">
        <f t="shared" si="31"/>
        <v>0</v>
      </c>
      <c r="J72" s="114">
        <f t="shared" si="31"/>
        <v>400000</v>
      </c>
      <c r="K72" s="114">
        <f t="shared" si="31"/>
        <v>0</v>
      </c>
      <c r="L72" s="114">
        <f t="shared" si="31"/>
        <v>0</v>
      </c>
      <c r="M72" s="114">
        <f t="shared" si="31"/>
        <v>0</v>
      </c>
      <c r="N72" s="114">
        <f t="shared" si="31"/>
        <v>0</v>
      </c>
      <c r="O72" s="114">
        <f t="shared" si="31"/>
        <v>0</v>
      </c>
      <c r="P72" s="114">
        <f t="shared" si="31"/>
        <v>0</v>
      </c>
      <c r="Q72" s="114">
        <f t="shared" si="31"/>
        <v>0</v>
      </c>
    </row>
    <row r="73" spans="1:17" ht="12.75">
      <c r="A73" s="348"/>
      <c r="B73" s="115" t="s">
        <v>246</v>
      </c>
      <c r="C73" s="116">
        <f aca="true" t="shared" si="32" ref="C73:Q73">SUM(C74:C77)</f>
        <v>4080299</v>
      </c>
      <c r="D73" s="116">
        <f t="shared" si="32"/>
        <v>4080299</v>
      </c>
      <c r="E73" s="116">
        <f t="shared" si="32"/>
        <v>3680299</v>
      </c>
      <c r="F73" s="116">
        <f t="shared" si="32"/>
        <v>0</v>
      </c>
      <c r="G73" s="116">
        <f t="shared" si="32"/>
        <v>3680299</v>
      </c>
      <c r="H73" s="116">
        <f t="shared" si="32"/>
        <v>0</v>
      </c>
      <c r="I73" s="116">
        <f t="shared" si="32"/>
        <v>0</v>
      </c>
      <c r="J73" s="116">
        <f t="shared" si="32"/>
        <v>400000</v>
      </c>
      <c r="K73" s="116">
        <f t="shared" si="32"/>
        <v>0</v>
      </c>
      <c r="L73" s="116">
        <f t="shared" si="32"/>
        <v>0</v>
      </c>
      <c r="M73" s="116">
        <f t="shared" si="32"/>
        <v>0</v>
      </c>
      <c r="N73" s="116">
        <f t="shared" si="32"/>
        <v>0</v>
      </c>
      <c r="O73" s="116">
        <f t="shared" si="32"/>
        <v>0</v>
      </c>
      <c r="P73" s="116">
        <f t="shared" si="32"/>
        <v>0</v>
      </c>
      <c r="Q73" s="116">
        <f t="shared" si="32"/>
        <v>0</v>
      </c>
    </row>
    <row r="74" spans="1:17" s="120" customFormat="1" ht="12.75" hidden="1">
      <c r="A74" s="348"/>
      <c r="B74" s="123" t="s">
        <v>222</v>
      </c>
      <c r="C74" s="119">
        <f>SUM(D74,M74)</f>
        <v>400000</v>
      </c>
      <c r="D74" s="119">
        <f>SUM(E74,L74,K74,J74,I74,H74)</f>
        <v>400000</v>
      </c>
      <c r="E74" s="119">
        <f>SUM(F74:G74)</f>
        <v>0</v>
      </c>
      <c r="F74" s="119"/>
      <c r="G74" s="119"/>
      <c r="H74" s="119"/>
      <c r="I74" s="119"/>
      <c r="J74" s="119">
        <v>400000</v>
      </c>
      <c r="K74" s="119"/>
      <c r="L74" s="119"/>
      <c r="M74" s="119">
        <f t="shared" si="23"/>
        <v>0</v>
      </c>
      <c r="N74" s="119"/>
      <c r="O74" s="119"/>
      <c r="P74" s="119"/>
      <c r="Q74" s="119"/>
    </row>
    <row r="75" spans="1:17" s="120" customFormat="1" ht="12.75" hidden="1">
      <c r="A75" s="348"/>
      <c r="B75" s="123" t="s">
        <v>247</v>
      </c>
      <c r="C75" s="119">
        <f>SUM(D75,M75)</f>
        <v>1800299</v>
      </c>
      <c r="D75" s="119">
        <f>SUM(E75,L75,K75,J75,I75,H75)</f>
        <v>1800299</v>
      </c>
      <c r="E75" s="119">
        <f>SUM(F75:G75)</f>
        <v>1800299</v>
      </c>
      <c r="F75" s="119"/>
      <c r="G75" s="119">
        <v>1800299</v>
      </c>
      <c r="H75" s="119"/>
      <c r="I75" s="119"/>
      <c r="J75" s="119"/>
      <c r="K75" s="119"/>
      <c r="L75" s="119"/>
      <c r="M75" s="119">
        <f t="shared" si="23"/>
        <v>0</v>
      </c>
      <c r="N75" s="119"/>
      <c r="O75" s="119"/>
      <c r="P75" s="119"/>
      <c r="Q75" s="119"/>
    </row>
    <row r="76" spans="1:17" s="120" customFormat="1" ht="12.75" hidden="1">
      <c r="A76" s="348"/>
      <c r="B76" s="123" t="s">
        <v>248</v>
      </c>
      <c r="C76" s="119">
        <f>SUM(D76,M76)</f>
        <v>1850000</v>
      </c>
      <c r="D76" s="119">
        <f>SUM(E76,L76,K76,J76,I76,H76)</f>
        <v>1850000</v>
      </c>
      <c r="E76" s="119">
        <f>SUM(F76:G76)</f>
        <v>1850000</v>
      </c>
      <c r="F76" s="119"/>
      <c r="G76" s="119">
        <f>3600000-200000-1550000</f>
        <v>1850000</v>
      </c>
      <c r="H76" s="119"/>
      <c r="I76" s="119"/>
      <c r="J76" s="119"/>
      <c r="K76" s="119"/>
      <c r="L76" s="119"/>
      <c r="M76" s="119">
        <f t="shared" si="23"/>
        <v>0</v>
      </c>
      <c r="N76" s="119"/>
      <c r="O76" s="119"/>
      <c r="P76" s="119"/>
      <c r="Q76" s="119"/>
    </row>
    <row r="77" spans="1:17" s="120" customFormat="1" ht="13.5" customHeight="1" hidden="1">
      <c r="A77" s="348"/>
      <c r="B77" s="123" t="s">
        <v>249</v>
      </c>
      <c r="C77" s="119">
        <f>SUM(D77,M77)</f>
        <v>30000</v>
      </c>
      <c r="D77" s="119">
        <f>SUM(E77,L77,K77,J77,I77,H77)</f>
        <v>30000</v>
      </c>
      <c r="E77" s="119">
        <f>SUM(F77:G77)</f>
        <v>30000</v>
      </c>
      <c r="F77" s="119"/>
      <c r="G77" s="119">
        <v>30000</v>
      </c>
      <c r="H77" s="119"/>
      <c r="I77" s="119"/>
      <c r="J77" s="119"/>
      <c r="K77" s="119"/>
      <c r="L77" s="119"/>
      <c r="M77" s="119">
        <f t="shared" si="23"/>
        <v>0</v>
      </c>
      <c r="N77" s="119"/>
      <c r="O77" s="119"/>
      <c r="P77" s="119"/>
      <c r="Q77" s="119"/>
    </row>
    <row r="78" spans="1:17" s="85" customFormat="1" ht="12.75">
      <c r="A78" s="113" t="s">
        <v>250</v>
      </c>
      <c r="B78" s="124"/>
      <c r="C78" s="114">
        <f>SUM(C79:C86)</f>
        <v>57420427</v>
      </c>
      <c r="D78" s="114">
        <f aca="true" t="shared" si="33" ref="D78:Q78">SUM(D79:D86)</f>
        <v>51557273</v>
      </c>
      <c r="E78" s="114">
        <f t="shared" si="33"/>
        <v>48183259</v>
      </c>
      <c r="F78" s="114">
        <f t="shared" si="33"/>
        <v>40841658</v>
      </c>
      <c r="G78" s="114">
        <f>SUM(G79:G86)</f>
        <v>7341601</v>
      </c>
      <c r="H78" s="114">
        <f>SUM(H79:H86)</f>
        <v>200000</v>
      </c>
      <c r="I78" s="114">
        <f>SUM(I79:I86)</f>
        <v>475565</v>
      </c>
      <c r="J78" s="114">
        <f t="shared" si="33"/>
        <v>2698449</v>
      </c>
      <c r="K78" s="114">
        <f t="shared" si="33"/>
        <v>0</v>
      </c>
      <c r="L78" s="114">
        <f t="shared" si="33"/>
        <v>0</v>
      </c>
      <c r="M78" s="114">
        <f t="shared" si="33"/>
        <v>5863154</v>
      </c>
      <c r="N78" s="114">
        <f t="shared" si="33"/>
        <v>5863154</v>
      </c>
      <c r="O78" s="114">
        <f>SUM(O79:O86)</f>
        <v>5863154</v>
      </c>
      <c r="P78" s="114">
        <f t="shared" si="33"/>
        <v>0</v>
      </c>
      <c r="Q78" s="114">
        <f t="shared" si="33"/>
        <v>0</v>
      </c>
    </row>
    <row r="79" spans="1:17" s="120" customFormat="1" ht="12.75">
      <c r="A79" s="349"/>
      <c r="B79" s="125">
        <v>80102</v>
      </c>
      <c r="C79" s="122">
        <f aca="true" t="shared" si="34" ref="C79:C110">SUM(D79,M79)</f>
        <v>3520947</v>
      </c>
      <c r="D79" s="122">
        <f>SUM(E79,L79,K79,J79,I79,H79)</f>
        <v>3520947</v>
      </c>
      <c r="E79" s="122">
        <f>SUM(F79:G79)</f>
        <v>3365737</v>
      </c>
      <c r="F79" s="122">
        <v>3154845</v>
      </c>
      <c r="G79" s="122">
        <f>366102-155210</f>
        <v>210892</v>
      </c>
      <c r="H79" s="122"/>
      <c r="I79" s="122">
        <v>155210</v>
      </c>
      <c r="J79" s="122"/>
      <c r="K79" s="122"/>
      <c r="L79" s="122"/>
      <c r="M79" s="122">
        <f t="shared" si="23"/>
        <v>0</v>
      </c>
      <c r="N79" s="122"/>
      <c r="O79" s="122"/>
      <c r="P79" s="122"/>
      <c r="Q79" s="122"/>
    </row>
    <row r="80" spans="1:17" s="120" customFormat="1" ht="12.75">
      <c r="A80" s="349"/>
      <c r="B80" s="125">
        <v>80111</v>
      </c>
      <c r="C80" s="122">
        <f t="shared" si="34"/>
        <v>1495691</v>
      </c>
      <c r="D80" s="122">
        <f aca="true" t="shared" si="35" ref="D80:D86">SUM(E80,L80,K80,J80,I80,H80)</f>
        <v>1495691</v>
      </c>
      <c r="E80" s="122">
        <f aca="true" t="shared" si="36" ref="E80:E86">SUM(F80:G80)</f>
        <v>1458449</v>
      </c>
      <c r="F80" s="122">
        <v>1394090</v>
      </c>
      <c r="G80" s="122">
        <f>101601-37242</f>
        <v>64359</v>
      </c>
      <c r="H80" s="122"/>
      <c r="I80" s="122">
        <v>37242</v>
      </c>
      <c r="J80" s="122"/>
      <c r="K80" s="122"/>
      <c r="L80" s="122"/>
      <c r="M80" s="122">
        <f t="shared" si="23"/>
        <v>0</v>
      </c>
      <c r="N80" s="122"/>
      <c r="O80" s="122"/>
      <c r="P80" s="122"/>
      <c r="Q80" s="122"/>
    </row>
    <row r="81" spans="1:17" s="120" customFormat="1" ht="12.75">
      <c r="A81" s="349"/>
      <c r="B81" s="125">
        <v>80130</v>
      </c>
      <c r="C81" s="122">
        <f t="shared" si="34"/>
        <v>19757466</v>
      </c>
      <c r="D81" s="122">
        <f t="shared" si="35"/>
        <v>15926135</v>
      </c>
      <c r="E81" s="122">
        <f t="shared" si="36"/>
        <v>15860458</v>
      </c>
      <c r="F81" s="122">
        <v>13357148</v>
      </c>
      <c r="G81" s="122">
        <f>2568987-65677</f>
        <v>2503310</v>
      </c>
      <c r="H81" s="122"/>
      <c r="I81" s="122">
        <v>65677</v>
      </c>
      <c r="J81" s="122"/>
      <c r="K81" s="122"/>
      <c r="L81" s="122"/>
      <c r="M81" s="122">
        <f t="shared" si="23"/>
        <v>3831331</v>
      </c>
      <c r="N81" s="122">
        <f>766013+3065318</f>
        <v>3831331</v>
      </c>
      <c r="O81" s="122">
        <f>766013+3065318</f>
        <v>3831331</v>
      </c>
      <c r="P81" s="122"/>
      <c r="Q81" s="122"/>
    </row>
    <row r="82" spans="1:17" s="120" customFormat="1" ht="12.75">
      <c r="A82" s="349"/>
      <c r="B82" s="125">
        <v>80131</v>
      </c>
      <c r="C82" s="122">
        <f t="shared" si="34"/>
        <v>1061463</v>
      </c>
      <c r="D82" s="122">
        <f t="shared" si="35"/>
        <v>1061463</v>
      </c>
      <c r="E82" s="122">
        <f t="shared" si="36"/>
        <v>1058443</v>
      </c>
      <c r="F82" s="122">
        <v>1019483</v>
      </c>
      <c r="G82" s="122">
        <f>41980-3020</f>
        <v>38960</v>
      </c>
      <c r="H82" s="122"/>
      <c r="I82" s="122">
        <v>3020</v>
      </c>
      <c r="J82" s="122"/>
      <c r="K82" s="122"/>
      <c r="L82" s="122"/>
      <c r="M82" s="122">
        <f t="shared" si="23"/>
        <v>0</v>
      </c>
      <c r="N82" s="122"/>
      <c r="O82" s="122"/>
      <c r="P82" s="122"/>
      <c r="Q82" s="122"/>
    </row>
    <row r="83" spans="1:17" s="120" customFormat="1" ht="12.75">
      <c r="A83" s="349"/>
      <c r="B83" s="125">
        <v>80141</v>
      </c>
      <c r="C83" s="122">
        <f t="shared" si="34"/>
        <v>11610300</v>
      </c>
      <c r="D83" s="122">
        <f t="shared" si="35"/>
        <v>11610300</v>
      </c>
      <c r="E83" s="122">
        <f t="shared" si="36"/>
        <v>11592433</v>
      </c>
      <c r="F83" s="122">
        <v>10582909</v>
      </c>
      <c r="G83" s="122">
        <f>1027391-17867</f>
        <v>1009524</v>
      </c>
      <c r="H83" s="122"/>
      <c r="I83" s="122">
        <v>17867</v>
      </c>
      <c r="J83" s="122"/>
      <c r="K83" s="122"/>
      <c r="L83" s="122"/>
      <c r="M83" s="122">
        <f t="shared" si="23"/>
        <v>0</v>
      </c>
      <c r="N83" s="122"/>
      <c r="O83" s="122"/>
      <c r="P83" s="122"/>
      <c r="Q83" s="122"/>
    </row>
    <row r="84" spans="1:17" s="120" customFormat="1" ht="12.75">
      <c r="A84" s="349"/>
      <c r="B84" s="125">
        <v>80146</v>
      </c>
      <c r="C84" s="122">
        <f t="shared" si="34"/>
        <v>7989059</v>
      </c>
      <c r="D84" s="122">
        <f t="shared" si="35"/>
        <v>7989059</v>
      </c>
      <c r="E84" s="122">
        <f t="shared" si="36"/>
        <v>5280526</v>
      </c>
      <c r="F84" s="122">
        <v>4819531</v>
      </c>
      <c r="G84" s="122">
        <f>471079-10084</f>
        <v>460995</v>
      </c>
      <c r="H84" s="122"/>
      <c r="I84" s="122">
        <v>10084</v>
      </c>
      <c r="J84" s="122">
        <v>2698449</v>
      </c>
      <c r="K84" s="122"/>
      <c r="L84" s="122"/>
      <c r="M84" s="122">
        <f t="shared" si="23"/>
        <v>0</v>
      </c>
      <c r="N84" s="122"/>
      <c r="O84" s="122"/>
      <c r="P84" s="122"/>
      <c r="Q84" s="122"/>
    </row>
    <row r="85" spans="1:17" s="120" customFormat="1" ht="12.75">
      <c r="A85" s="349"/>
      <c r="B85" s="125">
        <v>80147</v>
      </c>
      <c r="C85" s="122">
        <f t="shared" si="34"/>
        <v>11061753</v>
      </c>
      <c r="D85" s="122">
        <f t="shared" si="35"/>
        <v>9029930</v>
      </c>
      <c r="E85" s="122">
        <f t="shared" si="36"/>
        <v>9013465</v>
      </c>
      <c r="F85" s="122">
        <v>6450856</v>
      </c>
      <c r="G85" s="122">
        <f>2579074-16465</f>
        <v>2562609</v>
      </c>
      <c r="H85" s="122"/>
      <c r="I85" s="122">
        <v>16465</v>
      </c>
      <c r="J85" s="122"/>
      <c r="K85" s="122"/>
      <c r="L85" s="122"/>
      <c r="M85" s="122">
        <f t="shared" si="23"/>
        <v>2031823</v>
      </c>
      <c r="N85" s="122">
        <f>567475+1464348</f>
        <v>2031823</v>
      </c>
      <c r="O85" s="122">
        <f>567475+1464348</f>
        <v>2031823</v>
      </c>
      <c r="P85" s="122"/>
      <c r="Q85" s="122"/>
    </row>
    <row r="86" spans="1:17" s="120" customFormat="1" ht="12.75">
      <c r="A86" s="349"/>
      <c r="B86" s="125">
        <v>80195</v>
      </c>
      <c r="C86" s="122">
        <f t="shared" si="34"/>
        <v>923748</v>
      </c>
      <c r="D86" s="122">
        <f t="shared" si="35"/>
        <v>923748</v>
      </c>
      <c r="E86" s="122">
        <f t="shared" si="36"/>
        <v>553748</v>
      </c>
      <c r="F86" s="122">
        <v>62796</v>
      </c>
      <c r="G86" s="122">
        <f>460952+30000</f>
        <v>490952</v>
      </c>
      <c r="H86" s="122">
        <v>200000</v>
      </c>
      <c r="I86" s="122">
        <f>100000+70000</f>
        <v>170000</v>
      </c>
      <c r="J86" s="122"/>
      <c r="K86" s="122"/>
      <c r="L86" s="122"/>
      <c r="M86" s="122">
        <f t="shared" si="23"/>
        <v>0</v>
      </c>
      <c r="N86" s="122"/>
      <c r="O86" s="122"/>
      <c r="P86" s="122"/>
      <c r="Q86" s="122"/>
    </row>
    <row r="87" spans="1:17" s="85" customFormat="1" ht="12.75">
      <c r="A87" s="113" t="s">
        <v>251</v>
      </c>
      <c r="B87" s="124"/>
      <c r="C87" s="114">
        <f>SUM(C88:C89)</f>
        <v>7301698</v>
      </c>
      <c r="D87" s="114">
        <f aca="true" t="shared" si="37" ref="D87:Q87">SUM(D88:D89)</f>
        <v>7281698</v>
      </c>
      <c r="E87" s="114">
        <f t="shared" si="37"/>
        <v>0</v>
      </c>
      <c r="F87" s="114">
        <f t="shared" si="37"/>
        <v>0</v>
      </c>
      <c r="G87" s="114">
        <f t="shared" si="37"/>
        <v>0</v>
      </c>
      <c r="H87" s="114">
        <f t="shared" si="37"/>
        <v>2180000</v>
      </c>
      <c r="I87" s="114">
        <f t="shared" si="37"/>
        <v>0</v>
      </c>
      <c r="J87" s="114">
        <f t="shared" si="37"/>
        <v>5101698</v>
      </c>
      <c r="K87" s="114">
        <f t="shared" si="37"/>
        <v>0</v>
      </c>
      <c r="L87" s="114">
        <f t="shared" si="37"/>
        <v>0</v>
      </c>
      <c r="M87" s="114">
        <f t="shared" si="37"/>
        <v>20000</v>
      </c>
      <c r="N87" s="114">
        <f t="shared" si="37"/>
        <v>20000</v>
      </c>
      <c r="O87" s="114">
        <f t="shared" si="37"/>
        <v>20000</v>
      </c>
      <c r="P87" s="114">
        <f t="shared" si="37"/>
        <v>0</v>
      </c>
      <c r="Q87" s="114">
        <f t="shared" si="37"/>
        <v>0</v>
      </c>
    </row>
    <row r="88" spans="1:17" s="120" customFormat="1" ht="12.75">
      <c r="A88" s="349"/>
      <c r="B88" s="125">
        <v>80309</v>
      </c>
      <c r="C88" s="122">
        <f t="shared" si="34"/>
        <v>5121698</v>
      </c>
      <c r="D88" s="122">
        <f aca="true" t="shared" si="38" ref="D88:D110">SUM(E88,L88,K88,J88,I88,H88)</f>
        <v>5101698</v>
      </c>
      <c r="E88" s="122">
        <f>SUM(F88:G88)</f>
        <v>0</v>
      </c>
      <c r="F88" s="122"/>
      <c r="G88" s="122"/>
      <c r="H88" s="122"/>
      <c r="I88" s="122"/>
      <c r="J88" s="122">
        <v>5101698</v>
      </c>
      <c r="K88" s="122"/>
      <c r="L88" s="122"/>
      <c r="M88" s="122">
        <f t="shared" si="23"/>
        <v>20000</v>
      </c>
      <c r="N88" s="122">
        <v>20000</v>
      </c>
      <c r="O88" s="122">
        <v>20000</v>
      </c>
      <c r="P88" s="122"/>
      <c r="Q88" s="122"/>
    </row>
    <row r="89" spans="1:17" s="120" customFormat="1" ht="12.75">
      <c r="A89" s="349"/>
      <c r="B89" s="125">
        <v>80395</v>
      </c>
      <c r="C89" s="122">
        <f t="shared" si="34"/>
        <v>2180000</v>
      </c>
      <c r="D89" s="122">
        <f t="shared" si="38"/>
        <v>2180000</v>
      </c>
      <c r="E89" s="122">
        <f>SUM(F89:G89)</f>
        <v>0</v>
      </c>
      <c r="F89" s="122"/>
      <c r="G89" s="122"/>
      <c r="H89" s="122">
        <f>2100000+80000</f>
        <v>2180000</v>
      </c>
      <c r="I89" s="122"/>
      <c r="J89" s="122"/>
      <c r="K89" s="122"/>
      <c r="L89" s="122"/>
      <c r="M89" s="122">
        <f t="shared" si="23"/>
        <v>0</v>
      </c>
      <c r="N89" s="122"/>
      <c r="O89" s="122"/>
      <c r="P89" s="122"/>
      <c r="Q89" s="122"/>
    </row>
    <row r="90" spans="1:17" s="85" customFormat="1" ht="12.75">
      <c r="A90" s="113" t="s">
        <v>252</v>
      </c>
      <c r="B90" s="124"/>
      <c r="C90" s="114">
        <f>SUM(C91:C99)</f>
        <v>44257908</v>
      </c>
      <c r="D90" s="114">
        <f>SUM(D91:D99)</f>
        <v>3144250</v>
      </c>
      <c r="E90" s="114">
        <f>SUM(E91:E99)</f>
        <v>1294250</v>
      </c>
      <c r="F90" s="114">
        <f aca="true" t="shared" si="39" ref="F90:Q90">SUM(F91:F99)</f>
        <v>25000</v>
      </c>
      <c r="G90" s="114">
        <f t="shared" si="39"/>
        <v>1269250</v>
      </c>
      <c r="H90" s="114">
        <f t="shared" si="39"/>
        <v>1850000</v>
      </c>
      <c r="I90" s="114">
        <f t="shared" si="39"/>
        <v>0</v>
      </c>
      <c r="J90" s="114">
        <f t="shared" si="39"/>
        <v>0</v>
      </c>
      <c r="K90" s="114">
        <f t="shared" si="39"/>
        <v>0</v>
      </c>
      <c r="L90" s="114">
        <f t="shared" si="39"/>
        <v>0</v>
      </c>
      <c r="M90" s="114">
        <f t="shared" si="39"/>
        <v>41113658</v>
      </c>
      <c r="N90" s="114">
        <f t="shared" si="39"/>
        <v>41113658</v>
      </c>
      <c r="O90" s="114">
        <f t="shared" si="39"/>
        <v>50620</v>
      </c>
      <c r="P90" s="114">
        <f t="shared" si="39"/>
        <v>0</v>
      </c>
      <c r="Q90" s="114">
        <f t="shared" si="39"/>
        <v>0</v>
      </c>
    </row>
    <row r="91" spans="1:17" s="120" customFormat="1" ht="12.75">
      <c r="A91" s="349"/>
      <c r="B91" s="125">
        <v>85111</v>
      </c>
      <c r="C91" s="122">
        <f t="shared" si="34"/>
        <v>32393658</v>
      </c>
      <c r="D91" s="122">
        <f t="shared" si="38"/>
        <v>260000</v>
      </c>
      <c r="E91" s="122">
        <f>SUM(F91:G91)</f>
        <v>0</v>
      </c>
      <c r="F91" s="122"/>
      <c r="G91" s="122"/>
      <c r="H91" s="122">
        <v>260000</v>
      </c>
      <c r="I91" s="122"/>
      <c r="J91" s="122"/>
      <c r="K91" s="122"/>
      <c r="L91" s="122"/>
      <c r="M91" s="122">
        <f t="shared" si="23"/>
        <v>32133658</v>
      </c>
      <c r="N91" s="122">
        <v>32133658</v>
      </c>
      <c r="O91" s="122">
        <v>50620</v>
      </c>
      <c r="P91" s="122"/>
      <c r="Q91" s="122"/>
    </row>
    <row r="92" spans="1:17" s="120" customFormat="1" ht="12.75">
      <c r="A92" s="349"/>
      <c r="B92" s="125">
        <v>85120</v>
      </c>
      <c r="C92" s="122">
        <f t="shared" si="34"/>
        <v>8370000</v>
      </c>
      <c r="D92" s="122">
        <f t="shared" si="38"/>
        <v>0</v>
      </c>
      <c r="E92" s="122">
        <f aca="true" t="shared" si="40" ref="E92:E99">SUM(F92:G92)</f>
        <v>0</v>
      </c>
      <c r="F92" s="122"/>
      <c r="G92" s="122"/>
      <c r="H92" s="122"/>
      <c r="I92" s="122"/>
      <c r="J92" s="122"/>
      <c r="K92" s="122"/>
      <c r="L92" s="122"/>
      <c r="M92" s="122">
        <f t="shared" si="23"/>
        <v>8370000</v>
      </c>
      <c r="N92" s="122">
        <f>8170000+200000</f>
        <v>8370000</v>
      </c>
      <c r="O92" s="122"/>
      <c r="P92" s="122"/>
      <c r="Q92" s="122"/>
    </row>
    <row r="93" spans="1:17" s="120" customFormat="1" ht="12.75">
      <c r="A93" s="349"/>
      <c r="B93" s="125">
        <v>85121</v>
      </c>
      <c r="C93" s="122">
        <f t="shared" si="34"/>
        <v>140000</v>
      </c>
      <c r="D93" s="122">
        <f t="shared" si="38"/>
        <v>50000</v>
      </c>
      <c r="E93" s="122">
        <f t="shared" si="40"/>
        <v>0</v>
      </c>
      <c r="F93" s="122"/>
      <c r="G93" s="122"/>
      <c r="H93" s="122">
        <v>50000</v>
      </c>
      <c r="I93" s="122"/>
      <c r="J93" s="122"/>
      <c r="K93" s="122"/>
      <c r="L93" s="122"/>
      <c r="M93" s="122">
        <f t="shared" si="23"/>
        <v>90000</v>
      </c>
      <c r="N93" s="122">
        <v>90000</v>
      </c>
      <c r="O93" s="122"/>
      <c r="P93" s="122"/>
      <c r="Q93" s="122"/>
    </row>
    <row r="94" spans="1:17" s="120" customFormat="1" ht="12.75">
      <c r="A94" s="349"/>
      <c r="B94" s="125">
        <v>85141</v>
      </c>
      <c r="C94" s="122">
        <f t="shared" si="34"/>
        <v>500000</v>
      </c>
      <c r="D94" s="122">
        <f t="shared" si="38"/>
        <v>0</v>
      </c>
      <c r="E94" s="122">
        <f t="shared" si="40"/>
        <v>0</v>
      </c>
      <c r="F94" s="122"/>
      <c r="G94" s="122"/>
      <c r="H94" s="122"/>
      <c r="I94" s="122"/>
      <c r="J94" s="122"/>
      <c r="K94" s="122"/>
      <c r="L94" s="122"/>
      <c r="M94" s="122">
        <f t="shared" si="23"/>
        <v>500000</v>
      </c>
      <c r="N94" s="122">
        <v>500000</v>
      </c>
      <c r="O94" s="122"/>
      <c r="P94" s="122"/>
      <c r="Q94" s="122"/>
    </row>
    <row r="95" spans="1:17" s="120" customFormat="1" ht="12.75">
      <c r="A95" s="349"/>
      <c r="B95" s="125">
        <v>85148</v>
      </c>
      <c r="C95" s="122">
        <f t="shared" si="34"/>
        <v>2380050</v>
      </c>
      <c r="D95" s="122">
        <f t="shared" si="38"/>
        <v>2380050</v>
      </c>
      <c r="E95" s="122">
        <f t="shared" si="40"/>
        <v>1150050</v>
      </c>
      <c r="F95" s="122"/>
      <c r="G95" s="122">
        <v>1150050</v>
      </c>
      <c r="H95" s="122">
        <v>1230000</v>
      </c>
      <c r="I95" s="122"/>
      <c r="J95" s="122"/>
      <c r="K95" s="122"/>
      <c r="L95" s="122"/>
      <c r="M95" s="122">
        <f t="shared" si="23"/>
        <v>0</v>
      </c>
      <c r="N95" s="122"/>
      <c r="O95" s="122"/>
      <c r="P95" s="122"/>
      <c r="Q95" s="122"/>
    </row>
    <row r="96" spans="1:17" s="120" customFormat="1" ht="12.75">
      <c r="A96" s="349"/>
      <c r="B96" s="125">
        <v>85153</v>
      </c>
      <c r="C96" s="122">
        <f>SUM(D96,M96)</f>
        <v>70000</v>
      </c>
      <c r="D96" s="122">
        <f>SUM(E96,L96,K96,J96,I96,H96)</f>
        <v>70000</v>
      </c>
      <c r="E96" s="122">
        <f t="shared" si="40"/>
        <v>10000</v>
      </c>
      <c r="F96" s="122"/>
      <c r="G96" s="122">
        <v>10000</v>
      </c>
      <c r="H96" s="122">
        <v>60000</v>
      </c>
      <c r="I96" s="122"/>
      <c r="J96" s="122"/>
      <c r="K96" s="122"/>
      <c r="L96" s="122"/>
      <c r="M96" s="122">
        <f t="shared" si="23"/>
        <v>0</v>
      </c>
      <c r="N96" s="122"/>
      <c r="O96" s="122"/>
      <c r="P96" s="122"/>
      <c r="Q96" s="122"/>
    </row>
    <row r="97" spans="1:17" s="120" customFormat="1" ht="12.75">
      <c r="A97" s="349"/>
      <c r="B97" s="125">
        <v>85154</v>
      </c>
      <c r="C97" s="122">
        <f>SUM(D97,M97)</f>
        <v>379200</v>
      </c>
      <c r="D97" s="122">
        <f>SUM(E97,L97,K97,J97,I97,H97)</f>
        <v>359200</v>
      </c>
      <c r="E97" s="122">
        <f t="shared" si="40"/>
        <v>109200</v>
      </c>
      <c r="F97" s="122">
        <v>25000</v>
      </c>
      <c r="G97" s="122">
        <v>84200</v>
      </c>
      <c r="H97" s="122">
        <v>250000</v>
      </c>
      <c r="I97" s="122"/>
      <c r="J97" s="122"/>
      <c r="K97" s="122"/>
      <c r="L97" s="122"/>
      <c r="M97" s="122">
        <f t="shared" si="23"/>
        <v>20000</v>
      </c>
      <c r="N97" s="122">
        <v>20000</v>
      </c>
      <c r="O97" s="122"/>
      <c r="P97" s="122"/>
      <c r="Q97" s="122"/>
    </row>
    <row r="98" spans="1:17" s="120" customFormat="1" ht="12.75">
      <c r="A98" s="349"/>
      <c r="B98" s="125">
        <v>85156</v>
      </c>
      <c r="C98" s="122">
        <f t="shared" si="34"/>
        <v>15000</v>
      </c>
      <c r="D98" s="122">
        <f t="shared" si="38"/>
        <v>15000</v>
      </c>
      <c r="E98" s="122">
        <f t="shared" si="40"/>
        <v>15000</v>
      </c>
      <c r="F98" s="122"/>
      <c r="G98" s="122">
        <v>15000</v>
      </c>
      <c r="H98" s="122"/>
      <c r="I98" s="122"/>
      <c r="J98" s="122"/>
      <c r="K98" s="122"/>
      <c r="L98" s="122"/>
      <c r="M98" s="122">
        <f t="shared" si="23"/>
        <v>0</v>
      </c>
      <c r="N98" s="122"/>
      <c r="O98" s="122"/>
      <c r="P98" s="122"/>
      <c r="Q98" s="122"/>
    </row>
    <row r="99" spans="1:17" s="120" customFormat="1" ht="12.75">
      <c r="A99" s="349"/>
      <c r="B99" s="125">
        <v>85195</v>
      </c>
      <c r="C99" s="122">
        <f t="shared" si="34"/>
        <v>10000</v>
      </c>
      <c r="D99" s="122">
        <f t="shared" si="38"/>
        <v>10000</v>
      </c>
      <c r="E99" s="122">
        <f t="shared" si="40"/>
        <v>10000</v>
      </c>
      <c r="F99" s="122"/>
      <c r="G99" s="122">
        <v>10000</v>
      </c>
      <c r="H99" s="122"/>
      <c r="I99" s="122"/>
      <c r="J99" s="122"/>
      <c r="K99" s="122"/>
      <c r="L99" s="122"/>
      <c r="M99" s="122">
        <f t="shared" si="23"/>
        <v>0</v>
      </c>
      <c r="N99" s="122"/>
      <c r="O99" s="122"/>
      <c r="P99" s="122"/>
      <c r="Q99" s="122"/>
    </row>
    <row r="100" spans="1:17" s="85" customFormat="1" ht="12.75">
      <c r="A100" s="113" t="s">
        <v>253</v>
      </c>
      <c r="B100" s="124"/>
      <c r="C100" s="114">
        <f>SUM(C101:C102)</f>
        <v>3358700</v>
      </c>
      <c r="D100" s="114">
        <f aca="true" t="shared" si="41" ref="D100:Q100">SUM(D101:D102)</f>
        <v>3306500</v>
      </c>
      <c r="E100" s="114">
        <f t="shared" si="41"/>
        <v>2603000</v>
      </c>
      <c r="F100" s="114">
        <f t="shared" si="41"/>
        <v>2080200</v>
      </c>
      <c r="G100" s="114">
        <f t="shared" si="41"/>
        <v>522800</v>
      </c>
      <c r="H100" s="114">
        <f t="shared" si="41"/>
        <v>700000</v>
      </c>
      <c r="I100" s="114">
        <f t="shared" si="41"/>
        <v>3500</v>
      </c>
      <c r="J100" s="114">
        <f t="shared" si="41"/>
        <v>0</v>
      </c>
      <c r="K100" s="114">
        <f t="shared" si="41"/>
        <v>0</v>
      </c>
      <c r="L100" s="114">
        <f t="shared" si="41"/>
        <v>0</v>
      </c>
      <c r="M100" s="114">
        <f t="shared" si="41"/>
        <v>52200</v>
      </c>
      <c r="N100" s="114">
        <f t="shared" si="41"/>
        <v>52200</v>
      </c>
      <c r="O100" s="114">
        <f t="shared" si="41"/>
        <v>0</v>
      </c>
      <c r="P100" s="114">
        <f t="shared" si="41"/>
        <v>0</v>
      </c>
      <c r="Q100" s="114">
        <f t="shared" si="41"/>
        <v>0</v>
      </c>
    </row>
    <row r="101" spans="1:17" s="120" customFormat="1" ht="12.75">
      <c r="A101" s="349"/>
      <c r="B101" s="125">
        <v>85212</v>
      </c>
      <c r="C101" s="122">
        <f aca="true" t="shared" si="42" ref="C101:C106">SUM(D101,M101)</f>
        <v>1055800</v>
      </c>
      <c r="D101" s="122">
        <f aca="true" t="shared" si="43" ref="D101:D106">SUM(E101,L101,K101,J101,I101,H101)</f>
        <v>1045800</v>
      </c>
      <c r="E101" s="122">
        <f>SUM(F101:G101)</f>
        <v>1045800</v>
      </c>
      <c r="F101" s="122">
        <v>789200</v>
      </c>
      <c r="G101" s="122">
        <v>256600</v>
      </c>
      <c r="H101" s="122"/>
      <c r="I101" s="122"/>
      <c r="J101" s="122"/>
      <c r="K101" s="122"/>
      <c r="L101" s="122"/>
      <c r="M101" s="122">
        <f t="shared" si="23"/>
        <v>10000</v>
      </c>
      <c r="N101" s="122">
        <v>10000</v>
      </c>
      <c r="O101" s="122"/>
      <c r="P101" s="122"/>
      <c r="Q101" s="122"/>
    </row>
    <row r="102" spans="1:17" s="120" customFormat="1" ht="12.75">
      <c r="A102" s="349"/>
      <c r="B102" s="125">
        <v>85217</v>
      </c>
      <c r="C102" s="122">
        <f t="shared" si="42"/>
        <v>2302900</v>
      </c>
      <c r="D102" s="122">
        <f t="shared" si="43"/>
        <v>2260700</v>
      </c>
      <c r="E102" s="122">
        <f>SUM(F102:G102)</f>
        <v>1557200</v>
      </c>
      <c r="F102" s="122">
        <v>1291000</v>
      </c>
      <c r="G102" s="122">
        <f>269700-3500</f>
        <v>266200</v>
      </c>
      <c r="H102" s="122">
        <v>700000</v>
      </c>
      <c r="I102" s="122">
        <v>3500</v>
      </c>
      <c r="J102" s="122"/>
      <c r="K102" s="122"/>
      <c r="L102" s="122"/>
      <c r="M102" s="122">
        <f t="shared" si="23"/>
        <v>42200</v>
      </c>
      <c r="N102" s="122">
        <v>42200</v>
      </c>
      <c r="O102" s="122"/>
      <c r="P102" s="122"/>
      <c r="Q102" s="122"/>
    </row>
    <row r="103" spans="1:17" s="85" customFormat="1" ht="12.75">
      <c r="A103" s="113" t="s">
        <v>254</v>
      </c>
      <c r="B103" s="124"/>
      <c r="C103" s="114">
        <f>SUM(C104:C106)</f>
        <v>26253048</v>
      </c>
      <c r="D103" s="114">
        <f aca="true" t="shared" si="44" ref="D103:Q103">SUM(D104:D106)</f>
        <v>25868048</v>
      </c>
      <c r="E103" s="114">
        <f t="shared" si="44"/>
        <v>7172597</v>
      </c>
      <c r="F103" s="114">
        <f t="shared" si="44"/>
        <v>5867111</v>
      </c>
      <c r="G103" s="114">
        <f t="shared" si="44"/>
        <v>1305486</v>
      </c>
      <c r="H103" s="114">
        <f t="shared" si="44"/>
        <v>809210</v>
      </c>
      <c r="I103" s="114">
        <f t="shared" si="44"/>
        <v>34461</v>
      </c>
      <c r="J103" s="114">
        <f t="shared" si="44"/>
        <v>17851780</v>
      </c>
      <c r="K103" s="114">
        <f t="shared" si="44"/>
        <v>0</v>
      </c>
      <c r="L103" s="114">
        <f t="shared" si="44"/>
        <v>0</v>
      </c>
      <c r="M103" s="114">
        <f t="shared" si="44"/>
        <v>385000</v>
      </c>
      <c r="N103" s="114">
        <f t="shared" si="44"/>
        <v>385000</v>
      </c>
      <c r="O103" s="114">
        <f t="shared" si="44"/>
        <v>55000</v>
      </c>
      <c r="P103" s="114">
        <f t="shared" si="44"/>
        <v>0</v>
      </c>
      <c r="Q103" s="114">
        <f t="shared" si="44"/>
        <v>0</v>
      </c>
    </row>
    <row r="104" spans="1:17" s="120" customFormat="1" ht="12.75">
      <c r="A104" s="349"/>
      <c r="B104" s="125">
        <v>85311</v>
      </c>
      <c r="C104" s="122">
        <f t="shared" si="42"/>
        <v>810110</v>
      </c>
      <c r="D104" s="122">
        <f t="shared" si="43"/>
        <v>810110</v>
      </c>
      <c r="E104" s="122">
        <f>SUM(F104:G104)</f>
        <v>900</v>
      </c>
      <c r="F104" s="122"/>
      <c r="G104" s="122">
        <v>900</v>
      </c>
      <c r="H104" s="122">
        <v>809210</v>
      </c>
      <c r="I104" s="122"/>
      <c r="J104" s="122"/>
      <c r="K104" s="122"/>
      <c r="L104" s="122"/>
      <c r="M104" s="122">
        <f t="shared" si="23"/>
        <v>0</v>
      </c>
      <c r="N104" s="122"/>
      <c r="O104" s="122"/>
      <c r="P104" s="122"/>
      <c r="Q104" s="122"/>
    </row>
    <row r="105" spans="1:17" s="120" customFormat="1" ht="12.75">
      <c r="A105" s="349"/>
      <c r="B105" s="125">
        <v>85332</v>
      </c>
      <c r="C105" s="122">
        <f t="shared" si="42"/>
        <v>21942938</v>
      </c>
      <c r="D105" s="122">
        <f t="shared" si="43"/>
        <v>21582938</v>
      </c>
      <c r="E105" s="122">
        <f>SUM(F105:G105)</f>
        <v>7171697</v>
      </c>
      <c r="F105" s="122">
        <v>5867111</v>
      </c>
      <c r="G105" s="122">
        <f>1337547-34461+1500</f>
        <v>1304586</v>
      </c>
      <c r="H105" s="122"/>
      <c r="I105" s="122">
        <v>34461</v>
      </c>
      <c r="J105" s="122">
        <v>14376780</v>
      </c>
      <c r="K105" s="122"/>
      <c r="L105" s="122"/>
      <c r="M105" s="122">
        <f t="shared" si="23"/>
        <v>360000</v>
      </c>
      <c r="N105" s="122">
        <v>360000</v>
      </c>
      <c r="O105" s="122">
        <v>30000</v>
      </c>
      <c r="P105" s="122"/>
      <c r="Q105" s="122"/>
    </row>
    <row r="106" spans="1:17" s="120" customFormat="1" ht="12.75">
      <c r="A106" s="349"/>
      <c r="B106" s="125">
        <v>85395</v>
      </c>
      <c r="C106" s="122">
        <f t="shared" si="42"/>
        <v>3500000</v>
      </c>
      <c r="D106" s="122">
        <f t="shared" si="43"/>
        <v>3475000</v>
      </c>
      <c r="E106" s="122">
        <f>SUM(F106:G106)</f>
        <v>0</v>
      </c>
      <c r="F106" s="122"/>
      <c r="G106" s="122"/>
      <c r="H106" s="122"/>
      <c r="I106" s="122"/>
      <c r="J106" s="122">
        <v>3475000</v>
      </c>
      <c r="K106" s="122"/>
      <c r="L106" s="122"/>
      <c r="M106" s="122">
        <f t="shared" si="23"/>
        <v>25000</v>
      </c>
      <c r="N106" s="122">
        <v>25000</v>
      </c>
      <c r="O106" s="122">
        <v>25000</v>
      </c>
      <c r="P106" s="122"/>
      <c r="Q106" s="122"/>
    </row>
    <row r="107" spans="1:17" s="85" customFormat="1" ht="12.75">
      <c r="A107" s="113" t="s">
        <v>255</v>
      </c>
      <c r="B107" s="124"/>
      <c r="C107" s="114">
        <f>SUM(C108:C110)</f>
        <v>8279838</v>
      </c>
      <c r="D107" s="114">
        <f aca="true" t="shared" si="45" ref="D107:Q107">SUM(D108:D110)</f>
        <v>8274133</v>
      </c>
      <c r="E107" s="114">
        <f t="shared" si="45"/>
        <v>1076805</v>
      </c>
      <c r="F107" s="114">
        <f t="shared" si="45"/>
        <v>928316</v>
      </c>
      <c r="G107" s="114">
        <f t="shared" si="45"/>
        <v>148489</v>
      </c>
      <c r="H107" s="114">
        <f t="shared" si="45"/>
        <v>400000</v>
      </c>
      <c r="I107" s="114">
        <f t="shared" si="45"/>
        <v>6078</v>
      </c>
      <c r="J107" s="114">
        <f t="shared" si="45"/>
        <v>6791250</v>
      </c>
      <c r="K107" s="114">
        <f t="shared" si="45"/>
        <v>0</v>
      </c>
      <c r="L107" s="114">
        <f t="shared" si="45"/>
        <v>0</v>
      </c>
      <c r="M107" s="114">
        <f t="shared" si="45"/>
        <v>5705</v>
      </c>
      <c r="N107" s="114">
        <f t="shared" si="45"/>
        <v>5705</v>
      </c>
      <c r="O107" s="114">
        <f t="shared" si="45"/>
        <v>5705</v>
      </c>
      <c r="P107" s="114">
        <f t="shared" si="45"/>
        <v>0</v>
      </c>
      <c r="Q107" s="114">
        <f t="shared" si="45"/>
        <v>0</v>
      </c>
    </row>
    <row r="108" spans="1:17" s="120" customFormat="1" ht="12.75">
      <c r="A108" s="349"/>
      <c r="B108" s="125">
        <v>85410</v>
      </c>
      <c r="C108" s="122">
        <f t="shared" si="34"/>
        <v>1082883</v>
      </c>
      <c r="D108" s="122">
        <f t="shared" si="38"/>
        <v>1082883</v>
      </c>
      <c r="E108" s="122">
        <f>SUM(F108:G108)</f>
        <v>1076805</v>
      </c>
      <c r="F108" s="122">
        <v>928316</v>
      </c>
      <c r="G108" s="122">
        <f>154567-6078</f>
        <v>148489</v>
      </c>
      <c r="H108" s="122"/>
      <c r="I108" s="122">
        <v>6078</v>
      </c>
      <c r="J108" s="122"/>
      <c r="K108" s="122"/>
      <c r="L108" s="122"/>
      <c r="M108" s="122">
        <f t="shared" si="23"/>
        <v>0</v>
      </c>
      <c r="N108" s="122"/>
      <c r="O108" s="122"/>
      <c r="P108" s="122"/>
      <c r="Q108" s="122"/>
    </row>
    <row r="109" spans="1:17" s="120" customFormat="1" ht="12.75">
      <c r="A109" s="349"/>
      <c r="B109" s="125">
        <v>85415</v>
      </c>
      <c r="C109" s="122">
        <f t="shared" si="34"/>
        <v>6796955</v>
      </c>
      <c r="D109" s="122">
        <f t="shared" si="38"/>
        <v>6791250</v>
      </c>
      <c r="E109" s="122">
        <f>SUM(F109:G109)</f>
        <v>0</v>
      </c>
      <c r="F109" s="122"/>
      <c r="G109" s="122"/>
      <c r="H109" s="122"/>
      <c r="I109" s="122"/>
      <c r="J109" s="122">
        <v>6791250</v>
      </c>
      <c r="K109" s="122"/>
      <c r="L109" s="122"/>
      <c r="M109" s="122">
        <f t="shared" si="23"/>
        <v>5705</v>
      </c>
      <c r="N109" s="122">
        <v>5705</v>
      </c>
      <c r="O109" s="122">
        <v>5705</v>
      </c>
      <c r="P109" s="122"/>
      <c r="Q109" s="122"/>
    </row>
    <row r="110" spans="1:17" ht="12.75">
      <c r="A110" s="349"/>
      <c r="B110" s="115" t="s">
        <v>256</v>
      </c>
      <c r="C110" s="122">
        <f t="shared" si="34"/>
        <v>400000</v>
      </c>
      <c r="D110" s="122">
        <f t="shared" si="38"/>
        <v>400000</v>
      </c>
      <c r="E110" s="122">
        <f>SUM(F110:G110)</f>
        <v>0</v>
      </c>
      <c r="F110" s="116"/>
      <c r="G110" s="116"/>
      <c r="H110" s="116">
        <v>400000</v>
      </c>
      <c r="I110" s="116"/>
      <c r="J110" s="116"/>
      <c r="K110" s="116"/>
      <c r="L110" s="116"/>
      <c r="M110" s="122">
        <f t="shared" si="23"/>
        <v>0</v>
      </c>
      <c r="N110" s="116"/>
      <c r="O110" s="116"/>
      <c r="P110" s="116"/>
      <c r="Q110" s="116"/>
    </row>
    <row r="111" spans="1:17" s="85" customFormat="1" ht="12.75">
      <c r="A111" s="113" t="s">
        <v>257</v>
      </c>
      <c r="B111" s="113"/>
      <c r="C111" s="114">
        <f>SUM(C112:C115)</f>
        <v>2096000</v>
      </c>
      <c r="D111" s="114">
        <f aca="true" t="shared" si="46" ref="D111:Q111">SUM(D112:D115)</f>
        <v>96000</v>
      </c>
      <c r="E111" s="114">
        <f t="shared" si="46"/>
        <v>96000</v>
      </c>
      <c r="F111" s="114">
        <f t="shared" si="46"/>
        <v>56000</v>
      </c>
      <c r="G111" s="114">
        <f t="shared" si="46"/>
        <v>40000</v>
      </c>
      <c r="H111" s="114">
        <f t="shared" si="46"/>
        <v>0</v>
      </c>
      <c r="I111" s="114">
        <f t="shared" si="46"/>
        <v>0</v>
      </c>
      <c r="J111" s="114">
        <f t="shared" si="46"/>
        <v>0</v>
      </c>
      <c r="K111" s="114">
        <f t="shared" si="46"/>
        <v>0</v>
      </c>
      <c r="L111" s="114">
        <f t="shared" si="46"/>
        <v>0</v>
      </c>
      <c r="M111" s="114">
        <f t="shared" si="46"/>
        <v>2000000</v>
      </c>
      <c r="N111" s="114">
        <f t="shared" si="46"/>
        <v>2000000</v>
      </c>
      <c r="O111" s="114">
        <f t="shared" si="46"/>
        <v>0</v>
      </c>
      <c r="P111" s="114">
        <f t="shared" si="46"/>
        <v>0</v>
      </c>
      <c r="Q111" s="114">
        <f t="shared" si="46"/>
        <v>0</v>
      </c>
    </row>
    <row r="112" spans="1:17" ht="12.75">
      <c r="A112" s="348"/>
      <c r="B112" s="115" t="s">
        <v>258</v>
      </c>
      <c r="C112" s="116">
        <f>SUM(D112,M112)</f>
        <v>2000000</v>
      </c>
      <c r="D112" s="116">
        <f>SUM(E112,L112,K112,J112,I112,H112)</f>
        <v>0</v>
      </c>
      <c r="E112" s="116">
        <f>SUM(F112:G112)</f>
        <v>0</v>
      </c>
      <c r="F112" s="116"/>
      <c r="G112" s="116"/>
      <c r="H112" s="116"/>
      <c r="I112" s="116"/>
      <c r="J112" s="116"/>
      <c r="K112" s="116"/>
      <c r="L112" s="116"/>
      <c r="M112" s="116">
        <f t="shared" si="23"/>
        <v>2000000</v>
      </c>
      <c r="N112" s="116">
        <v>2000000</v>
      </c>
      <c r="O112" s="116"/>
      <c r="P112" s="116"/>
      <c r="Q112" s="116"/>
    </row>
    <row r="113" spans="1:17" ht="12.75">
      <c r="A113" s="348"/>
      <c r="B113" s="115" t="s">
        <v>259</v>
      </c>
      <c r="C113" s="116">
        <f>SUM(D113,M113)</f>
        <v>50000</v>
      </c>
      <c r="D113" s="116">
        <f>SUM(E113,L113,K113,J113,I113,H113)</f>
        <v>50000</v>
      </c>
      <c r="E113" s="116">
        <f>SUM(F113:G113)</f>
        <v>50000</v>
      </c>
      <c r="F113" s="116">
        <v>50000</v>
      </c>
      <c r="G113" s="116"/>
      <c r="H113" s="116"/>
      <c r="I113" s="116"/>
      <c r="J113" s="116"/>
      <c r="K113" s="116"/>
      <c r="L113" s="116"/>
      <c r="M113" s="116">
        <f t="shared" si="23"/>
        <v>0</v>
      </c>
      <c r="N113" s="116"/>
      <c r="O113" s="116"/>
      <c r="P113" s="116"/>
      <c r="Q113" s="116"/>
    </row>
    <row r="114" spans="1:17" ht="12.75">
      <c r="A114" s="348"/>
      <c r="B114" s="115" t="s">
        <v>260</v>
      </c>
      <c r="C114" s="116">
        <f>SUM(D114,M114)</f>
        <v>6000</v>
      </c>
      <c r="D114" s="116">
        <f>SUM(E114,L114,K114,J114,I114,H114)</f>
        <v>6000</v>
      </c>
      <c r="E114" s="116">
        <f>SUM(F114:G114)</f>
        <v>6000</v>
      </c>
      <c r="F114" s="116">
        <v>6000</v>
      </c>
      <c r="G114" s="116"/>
      <c r="H114" s="116"/>
      <c r="I114" s="116"/>
      <c r="J114" s="116"/>
      <c r="K114" s="116"/>
      <c r="L114" s="116"/>
      <c r="M114" s="116">
        <f t="shared" si="23"/>
        <v>0</v>
      </c>
      <c r="N114" s="116"/>
      <c r="O114" s="116"/>
      <c r="P114" s="116"/>
      <c r="Q114" s="116"/>
    </row>
    <row r="115" spans="1:17" ht="12.75">
      <c r="A115" s="348"/>
      <c r="B115" s="115" t="s">
        <v>261</v>
      </c>
      <c r="C115" s="116">
        <f>SUM(D115,M115)</f>
        <v>40000</v>
      </c>
      <c r="D115" s="116">
        <f>SUM(E115,L115,K115,J115,I115,H115)</f>
        <v>40000</v>
      </c>
      <c r="E115" s="116">
        <f>SUM(F115:G115)</f>
        <v>40000</v>
      </c>
      <c r="F115" s="116"/>
      <c r="G115" s="116">
        <v>40000</v>
      </c>
      <c r="H115" s="116"/>
      <c r="I115" s="116"/>
      <c r="J115" s="116"/>
      <c r="K115" s="116"/>
      <c r="L115" s="116"/>
      <c r="M115" s="116">
        <f t="shared" si="23"/>
        <v>0</v>
      </c>
      <c r="N115" s="116"/>
      <c r="O115" s="116"/>
      <c r="P115" s="116"/>
      <c r="Q115" s="116"/>
    </row>
    <row r="116" spans="1:17" s="85" customFormat="1" ht="12.75">
      <c r="A116" s="113" t="s">
        <v>262</v>
      </c>
      <c r="B116" s="113"/>
      <c r="C116" s="114">
        <f>SUM(C117:C126)</f>
        <v>56871531</v>
      </c>
      <c r="D116" s="114">
        <f>SUM(D117:D126)</f>
        <v>45866935</v>
      </c>
      <c r="E116" s="114">
        <f>SUM(E117:E126)</f>
        <v>210000</v>
      </c>
      <c r="F116" s="114">
        <f aca="true" t="shared" si="47" ref="F116:Q116">SUM(F117:F126)</f>
        <v>0</v>
      </c>
      <c r="G116" s="114">
        <f>SUM(G117:G126)</f>
        <v>210000</v>
      </c>
      <c r="H116" s="114">
        <f>SUM(H117:H126)</f>
        <v>45366935</v>
      </c>
      <c r="I116" s="114">
        <f>SUM(I117:I126)</f>
        <v>290000</v>
      </c>
      <c r="J116" s="114">
        <f t="shared" si="47"/>
        <v>0</v>
      </c>
      <c r="K116" s="114">
        <f t="shared" si="47"/>
        <v>0</v>
      </c>
      <c r="L116" s="114">
        <f t="shared" si="47"/>
        <v>0</v>
      </c>
      <c r="M116" s="114">
        <f t="shared" si="47"/>
        <v>11004596</v>
      </c>
      <c r="N116" s="114">
        <f>SUM(N117:N126)</f>
        <v>11004596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</row>
    <row r="117" spans="1:17" ht="12.75">
      <c r="A117" s="348"/>
      <c r="B117" s="115" t="s">
        <v>263</v>
      </c>
      <c r="C117" s="116">
        <f aca="true" t="shared" si="48" ref="C117:C126">SUM(D117,M117)</f>
        <v>1190000</v>
      </c>
      <c r="D117" s="116">
        <f aca="true" t="shared" si="49" ref="D117:D126">SUM(E117,L117,K117,J117,I117,H117)</f>
        <v>1190000</v>
      </c>
      <c r="E117" s="116">
        <f aca="true" t="shared" si="50" ref="E117:E126">SUM(F117:G117)</f>
        <v>0</v>
      </c>
      <c r="F117" s="116"/>
      <c r="G117" s="116"/>
      <c r="H117" s="116">
        <v>900000</v>
      </c>
      <c r="I117" s="116">
        <v>290000</v>
      </c>
      <c r="J117" s="116"/>
      <c r="K117" s="116"/>
      <c r="L117" s="116"/>
      <c r="M117" s="116">
        <f aca="true" t="shared" si="51" ref="M117:M126">SUM(N117,P117,Q117)</f>
        <v>0</v>
      </c>
      <c r="N117" s="116"/>
      <c r="O117" s="116"/>
      <c r="P117" s="116"/>
      <c r="Q117" s="116"/>
    </row>
    <row r="118" spans="1:17" ht="12.75">
      <c r="A118" s="348"/>
      <c r="B118" s="115" t="s">
        <v>264</v>
      </c>
      <c r="C118" s="116">
        <f t="shared" si="48"/>
        <v>4106000</v>
      </c>
      <c r="D118" s="116">
        <f t="shared" si="49"/>
        <v>4106000</v>
      </c>
      <c r="E118" s="116">
        <f t="shared" si="50"/>
        <v>0</v>
      </c>
      <c r="F118" s="116"/>
      <c r="G118" s="116"/>
      <c r="H118" s="116">
        <f>3996000+110000</f>
        <v>4106000</v>
      </c>
      <c r="I118" s="116"/>
      <c r="J118" s="116"/>
      <c r="K118" s="116"/>
      <c r="L118" s="116"/>
      <c r="M118" s="116">
        <f t="shared" si="51"/>
        <v>0</v>
      </c>
      <c r="N118" s="116"/>
      <c r="O118" s="116"/>
      <c r="P118" s="116"/>
      <c r="Q118" s="116"/>
    </row>
    <row r="119" spans="1:17" ht="12.75">
      <c r="A119" s="348"/>
      <c r="B119" s="115" t="s">
        <v>265</v>
      </c>
      <c r="C119" s="116">
        <f t="shared" si="48"/>
        <v>10847997</v>
      </c>
      <c r="D119" s="116">
        <f t="shared" si="49"/>
        <v>6350000</v>
      </c>
      <c r="E119" s="116">
        <f t="shared" si="50"/>
        <v>0</v>
      </c>
      <c r="F119" s="116"/>
      <c r="G119" s="116"/>
      <c r="H119" s="116">
        <f>6290000+60000</f>
        <v>6350000</v>
      </c>
      <c r="I119" s="116"/>
      <c r="J119" s="116"/>
      <c r="K119" s="116"/>
      <c r="L119" s="116"/>
      <c r="M119" s="116">
        <v>4497997</v>
      </c>
      <c r="N119" s="116">
        <v>4497997</v>
      </c>
      <c r="O119" s="116"/>
      <c r="P119" s="116"/>
      <c r="Q119" s="116"/>
    </row>
    <row r="120" spans="1:17" ht="12.75">
      <c r="A120" s="348"/>
      <c r="B120" s="115" t="s">
        <v>266</v>
      </c>
      <c r="C120" s="116">
        <f t="shared" si="48"/>
        <v>4813940</v>
      </c>
      <c r="D120" s="116">
        <f t="shared" si="49"/>
        <v>4525000</v>
      </c>
      <c r="E120" s="116">
        <f t="shared" si="50"/>
        <v>0</v>
      </c>
      <c r="F120" s="116"/>
      <c r="G120" s="116"/>
      <c r="H120" s="116">
        <f>4375000+150000</f>
        <v>4525000</v>
      </c>
      <c r="I120" s="116"/>
      <c r="J120" s="116"/>
      <c r="K120" s="116"/>
      <c r="L120" s="116"/>
      <c r="M120" s="116">
        <f t="shared" si="51"/>
        <v>288940</v>
      </c>
      <c r="N120" s="116">
        <v>288940</v>
      </c>
      <c r="O120" s="116"/>
      <c r="P120" s="116"/>
      <c r="Q120" s="116"/>
    </row>
    <row r="121" spans="1:17" ht="12.75">
      <c r="A121" s="348"/>
      <c r="B121" s="115" t="s">
        <v>267</v>
      </c>
      <c r="C121" s="116">
        <f t="shared" si="48"/>
        <v>448740</v>
      </c>
      <c r="D121" s="116">
        <f t="shared" si="49"/>
        <v>415000</v>
      </c>
      <c r="E121" s="116">
        <f t="shared" si="50"/>
        <v>0</v>
      </c>
      <c r="F121" s="116"/>
      <c r="G121" s="116"/>
      <c r="H121" s="116">
        <f>400000+15000</f>
        <v>415000</v>
      </c>
      <c r="I121" s="116"/>
      <c r="J121" s="116"/>
      <c r="K121" s="116"/>
      <c r="L121" s="116"/>
      <c r="M121" s="116">
        <f t="shared" si="51"/>
        <v>33740</v>
      </c>
      <c r="N121" s="116">
        <v>33740</v>
      </c>
      <c r="O121" s="116"/>
      <c r="P121" s="116"/>
      <c r="Q121" s="116"/>
    </row>
    <row r="122" spans="1:17" ht="12.75">
      <c r="A122" s="348"/>
      <c r="B122" s="115" t="s">
        <v>268</v>
      </c>
      <c r="C122" s="116">
        <f t="shared" si="48"/>
        <v>1634689</v>
      </c>
      <c r="D122" s="116">
        <f t="shared" si="49"/>
        <v>1439000</v>
      </c>
      <c r="E122" s="116">
        <f t="shared" si="50"/>
        <v>0</v>
      </c>
      <c r="F122" s="116"/>
      <c r="G122" s="116"/>
      <c r="H122" s="116">
        <f>1339000+100000</f>
        <v>1439000</v>
      </c>
      <c r="I122" s="116"/>
      <c r="J122" s="116"/>
      <c r="K122" s="116"/>
      <c r="L122" s="116"/>
      <c r="M122" s="116">
        <f t="shared" si="51"/>
        <v>195689</v>
      </c>
      <c r="N122" s="116">
        <v>195689</v>
      </c>
      <c r="O122" s="116"/>
      <c r="P122" s="116"/>
      <c r="Q122" s="116"/>
    </row>
    <row r="123" spans="1:17" ht="12.75">
      <c r="A123" s="348"/>
      <c r="B123" s="115" t="s">
        <v>269</v>
      </c>
      <c r="C123" s="116">
        <f t="shared" si="48"/>
        <v>6307935</v>
      </c>
      <c r="D123" s="116">
        <f t="shared" si="49"/>
        <v>6307935</v>
      </c>
      <c r="E123" s="116">
        <f t="shared" si="50"/>
        <v>0</v>
      </c>
      <c r="F123" s="116"/>
      <c r="G123" s="116"/>
      <c r="H123" s="116">
        <f>6207935+100000</f>
        <v>6307935</v>
      </c>
      <c r="I123" s="116"/>
      <c r="J123" s="116"/>
      <c r="K123" s="116"/>
      <c r="L123" s="116"/>
      <c r="M123" s="116">
        <f t="shared" si="51"/>
        <v>0</v>
      </c>
      <c r="N123" s="116"/>
      <c r="O123" s="116"/>
      <c r="P123" s="116"/>
      <c r="Q123" s="116"/>
    </row>
    <row r="124" spans="1:17" ht="12.75">
      <c r="A124" s="348"/>
      <c r="B124" s="115" t="s">
        <v>270</v>
      </c>
      <c r="C124" s="116">
        <f t="shared" si="48"/>
        <v>23312230</v>
      </c>
      <c r="D124" s="116">
        <f t="shared" si="49"/>
        <v>17324000</v>
      </c>
      <c r="E124" s="116">
        <f t="shared" si="50"/>
        <v>0</v>
      </c>
      <c r="F124" s="116"/>
      <c r="G124" s="116"/>
      <c r="H124" s="116">
        <f>16859000+465000</f>
        <v>17324000</v>
      </c>
      <c r="I124" s="116"/>
      <c r="J124" s="116"/>
      <c r="K124" s="116"/>
      <c r="L124" s="116"/>
      <c r="M124" s="116">
        <f t="shared" si="51"/>
        <v>5988230</v>
      </c>
      <c r="N124" s="116">
        <v>5988230</v>
      </c>
      <c r="O124" s="116"/>
      <c r="P124" s="116"/>
      <c r="Q124" s="116"/>
    </row>
    <row r="125" spans="1:17" ht="12.75">
      <c r="A125" s="348"/>
      <c r="B125" s="115" t="s">
        <v>271</v>
      </c>
      <c r="C125" s="116">
        <f t="shared" si="48"/>
        <v>4000000</v>
      </c>
      <c r="D125" s="116">
        <f t="shared" si="49"/>
        <v>4000000</v>
      </c>
      <c r="E125" s="116">
        <f t="shared" si="50"/>
        <v>0</v>
      </c>
      <c r="F125" s="116"/>
      <c r="G125" s="116"/>
      <c r="H125" s="116">
        <v>4000000</v>
      </c>
      <c r="I125" s="116"/>
      <c r="J125" s="116"/>
      <c r="K125" s="116"/>
      <c r="L125" s="116"/>
      <c r="M125" s="116">
        <f t="shared" si="51"/>
        <v>0</v>
      </c>
      <c r="N125" s="116"/>
      <c r="O125" s="116"/>
      <c r="P125" s="116"/>
      <c r="Q125" s="116"/>
    </row>
    <row r="126" spans="1:17" ht="12.75">
      <c r="A126" s="348"/>
      <c r="B126" s="115" t="s">
        <v>272</v>
      </c>
      <c r="C126" s="116">
        <f t="shared" si="48"/>
        <v>210000</v>
      </c>
      <c r="D126" s="116">
        <f t="shared" si="49"/>
        <v>210000</v>
      </c>
      <c r="E126" s="116">
        <f t="shared" si="50"/>
        <v>210000</v>
      </c>
      <c r="F126" s="116"/>
      <c r="G126" s="116">
        <v>210000</v>
      </c>
      <c r="H126" s="116"/>
      <c r="I126" s="116"/>
      <c r="J126" s="116"/>
      <c r="K126" s="116"/>
      <c r="L126" s="116"/>
      <c r="M126" s="116">
        <f t="shared" si="51"/>
        <v>0</v>
      </c>
      <c r="N126" s="116"/>
      <c r="O126" s="116"/>
      <c r="P126" s="116"/>
      <c r="Q126" s="116"/>
    </row>
    <row r="127" spans="1:17" s="85" customFormat="1" ht="12.75">
      <c r="A127" s="113" t="s">
        <v>273</v>
      </c>
      <c r="B127" s="113"/>
      <c r="C127" s="114">
        <f>SUM(C128)</f>
        <v>742000</v>
      </c>
      <c r="D127" s="114">
        <f aca="true" t="shared" si="52" ref="D127:Q127">SUM(D128)</f>
        <v>742000</v>
      </c>
      <c r="E127" s="114">
        <f t="shared" si="52"/>
        <v>727000</v>
      </c>
      <c r="F127" s="114">
        <f t="shared" si="52"/>
        <v>456500</v>
      </c>
      <c r="G127" s="114">
        <f t="shared" si="52"/>
        <v>270500</v>
      </c>
      <c r="H127" s="114">
        <f t="shared" si="52"/>
        <v>0</v>
      </c>
      <c r="I127" s="114">
        <f t="shared" si="52"/>
        <v>15000</v>
      </c>
      <c r="J127" s="114">
        <f t="shared" si="52"/>
        <v>0</v>
      </c>
      <c r="K127" s="114">
        <f t="shared" si="52"/>
        <v>0</v>
      </c>
      <c r="L127" s="114">
        <f t="shared" si="52"/>
        <v>0</v>
      </c>
      <c r="M127" s="114">
        <f t="shared" si="52"/>
        <v>0</v>
      </c>
      <c r="N127" s="114">
        <f t="shared" si="52"/>
        <v>0</v>
      </c>
      <c r="O127" s="114">
        <f t="shared" si="52"/>
        <v>0</v>
      </c>
      <c r="P127" s="114">
        <f t="shared" si="52"/>
        <v>0</v>
      </c>
      <c r="Q127" s="114">
        <f t="shared" si="52"/>
        <v>0</v>
      </c>
    </row>
    <row r="128" spans="1:17" ht="12.75">
      <c r="A128" s="115"/>
      <c r="B128" s="115" t="s">
        <v>274</v>
      </c>
      <c r="C128" s="116">
        <f>SUM(D128,M128)</f>
        <v>742000</v>
      </c>
      <c r="D128" s="116">
        <f>SUM(E128,L128,K128,J128,I128,H128)</f>
        <v>742000</v>
      </c>
      <c r="E128" s="116">
        <f>SUM(F128:G128)</f>
        <v>727000</v>
      </c>
      <c r="F128" s="116">
        <v>456500</v>
      </c>
      <c r="G128" s="116">
        <f>285500-15000</f>
        <v>270500</v>
      </c>
      <c r="H128" s="116"/>
      <c r="I128" s="116">
        <v>15000</v>
      </c>
      <c r="J128" s="116"/>
      <c r="K128" s="116"/>
      <c r="L128" s="116"/>
      <c r="M128" s="116">
        <f>SUM(N128,P128,Q128)</f>
        <v>0</v>
      </c>
      <c r="N128" s="116"/>
      <c r="O128" s="116"/>
      <c r="P128" s="116"/>
      <c r="Q128" s="116"/>
    </row>
    <row r="129" spans="1:17" s="85" customFormat="1" ht="12.75">
      <c r="A129" s="113" t="s">
        <v>275</v>
      </c>
      <c r="B129" s="113"/>
      <c r="C129" s="114">
        <f>SUM(C130:C131)</f>
        <v>10250000</v>
      </c>
      <c r="D129" s="114">
        <f aca="true" t="shared" si="53" ref="D129:Q129">SUM(D130:D131)</f>
        <v>3590000</v>
      </c>
      <c r="E129" s="114">
        <f t="shared" si="53"/>
        <v>40000</v>
      </c>
      <c r="F129" s="114">
        <f t="shared" si="53"/>
        <v>0</v>
      </c>
      <c r="G129" s="114">
        <f t="shared" si="53"/>
        <v>40000</v>
      </c>
      <c r="H129" s="114">
        <f t="shared" si="53"/>
        <v>2960000</v>
      </c>
      <c r="I129" s="114">
        <f t="shared" si="53"/>
        <v>590000</v>
      </c>
      <c r="J129" s="114">
        <f t="shared" si="53"/>
        <v>0</v>
      </c>
      <c r="K129" s="114">
        <f t="shared" si="53"/>
        <v>0</v>
      </c>
      <c r="L129" s="114">
        <f t="shared" si="53"/>
        <v>0</v>
      </c>
      <c r="M129" s="114">
        <f t="shared" si="53"/>
        <v>6660000</v>
      </c>
      <c r="N129" s="114">
        <f t="shared" si="53"/>
        <v>6660000</v>
      </c>
      <c r="O129" s="114">
        <f t="shared" si="53"/>
        <v>0</v>
      </c>
      <c r="P129" s="114">
        <f t="shared" si="53"/>
        <v>0</v>
      </c>
      <c r="Q129" s="114">
        <f t="shared" si="53"/>
        <v>0</v>
      </c>
    </row>
    <row r="130" spans="1:17" ht="12.75">
      <c r="A130" s="348"/>
      <c r="B130" s="115" t="s">
        <v>276</v>
      </c>
      <c r="C130" s="116">
        <f>SUM(D130,M130)</f>
        <v>6660000</v>
      </c>
      <c r="D130" s="116">
        <f>SUM(E130,L130,K130,J130,I130,H130)</f>
        <v>0</v>
      </c>
      <c r="E130" s="116">
        <f>SUM(F130:G130)</f>
        <v>0</v>
      </c>
      <c r="F130" s="116"/>
      <c r="G130" s="116"/>
      <c r="H130" s="116"/>
      <c r="I130" s="116"/>
      <c r="J130" s="116"/>
      <c r="K130" s="116"/>
      <c r="L130" s="116"/>
      <c r="M130" s="116">
        <f>SUM(N130,P130,Q130)</f>
        <v>6660000</v>
      </c>
      <c r="N130" s="116">
        <v>6660000</v>
      </c>
      <c r="O130" s="116"/>
      <c r="P130" s="116"/>
      <c r="Q130" s="116"/>
    </row>
    <row r="131" spans="1:17" ht="12.75">
      <c r="A131" s="348"/>
      <c r="B131" s="115" t="s">
        <v>277</v>
      </c>
      <c r="C131" s="116">
        <f>SUM(D131,M131)</f>
        <v>3590000</v>
      </c>
      <c r="D131" s="116">
        <f>SUM(E131,L131,K131,J131,I131,H131)</f>
        <v>3590000</v>
      </c>
      <c r="E131" s="116">
        <f>SUM(F131:G131)</f>
        <v>40000</v>
      </c>
      <c r="F131" s="116"/>
      <c r="G131" s="116">
        <f>580000-540000</f>
        <v>40000</v>
      </c>
      <c r="H131" s="116">
        <f>2840000+120000</f>
        <v>2960000</v>
      </c>
      <c r="I131" s="116">
        <f>540000+50000</f>
        <v>590000</v>
      </c>
      <c r="J131" s="116"/>
      <c r="K131" s="116"/>
      <c r="L131" s="116"/>
      <c r="M131" s="116">
        <f>SUM(N131,P131,Q131)</f>
        <v>0</v>
      </c>
      <c r="N131" s="116"/>
      <c r="O131" s="116"/>
      <c r="P131" s="116"/>
      <c r="Q131" s="116"/>
    </row>
    <row r="132" spans="1:17" s="85" customFormat="1" ht="18.75" customHeight="1">
      <c r="A132" s="347" t="s">
        <v>278</v>
      </c>
      <c r="B132" s="347"/>
      <c r="C132" s="126">
        <f>SUM(C129,C8,C16,C18,C20,C28,C30,C32,C37,C39,C41,C65,C69,C72,C78,C87,C90,C100,C103,C107,C111,C116,C127,C67)</f>
        <v>923380598</v>
      </c>
      <c r="D132" s="126">
        <f aca="true" t="shared" si="54" ref="D132:Q132">SUM(D129,D8,D16,D18,D20,D28,D30,D32,D37,D39,D41,D65,D69,D72,D78,D87,D90,D100,D103,D107,D111,D116,D127,D67)</f>
        <v>468537762</v>
      </c>
      <c r="E132" s="126">
        <f t="shared" si="54"/>
        <v>245404164</v>
      </c>
      <c r="F132" s="126">
        <f t="shared" si="54"/>
        <v>105179136</v>
      </c>
      <c r="G132" s="126">
        <f t="shared" si="54"/>
        <v>140225028</v>
      </c>
      <c r="H132" s="126">
        <f>SUM(H129,H8,H16,H18,H20,H28,H30,H32,H37,H39,H41,H65,H69,H72,H78,H87,H90,H100,H103,H107,H111,H116,H127,H67)</f>
        <v>140975145</v>
      </c>
      <c r="I132" s="126">
        <f t="shared" si="54"/>
        <v>2467904</v>
      </c>
      <c r="J132" s="126">
        <f t="shared" si="54"/>
        <v>63746698</v>
      </c>
      <c r="K132" s="126">
        <f t="shared" si="54"/>
        <v>7308851</v>
      </c>
      <c r="L132" s="126">
        <f t="shared" si="54"/>
        <v>8635000</v>
      </c>
      <c r="M132" s="126">
        <f t="shared" si="54"/>
        <v>454842836</v>
      </c>
      <c r="N132" s="126">
        <f t="shared" si="54"/>
        <v>441723936</v>
      </c>
      <c r="O132" s="126">
        <f t="shared" si="54"/>
        <v>186564029</v>
      </c>
      <c r="P132" s="126">
        <f t="shared" si="54"/>
        <v>3118900</v>
      </c>
      <c r="Q132" s="126">
        <f t="shared" si="54"/>
        <v>10000000</v>
      </c>
    </row>
    <row r="135" spans="8:10" ht="12.75">
      <c r="H135" s="127"/>
      <c r="J135" s="127"/>
    </row>
    <row r="137" ht="12.75">
      <c r="H137" s="127"/>
    </row>
  </sheetData>
  <sheetProtection/>
  <mergeCells count="38">
    <mergeCell ref="M1:Q1"/>
    <mergeCell ref="A2:Q2"/>
    <mergeCell ref="A3:O3"/>
    <mergeCell ref="P3:Q3"/>
    <mergeCell ref="A4:A7"/>
    <mergeCell ref="B4:B7"/>
    <mergeCell ref="C4:C7"/>
    <mergeCell ref="D4:Q4"/>
    <mergeCell ref="D5:D7"/>
    <mergeCell ref="E5:L5"/>
    <mergeCell ref="A42:A64"/>
    <mergeCell ref="M5:M7"/>
    <mergeCell ref="N5:Q5"/>
    <mergeCell ref="E6:E7"/>
    <mergeCell ref="F6:G6"/>
    <mergeCell ref="H6:H7"/>
    <mergeCell ref="I6:I7"/>
    <mergeCell ref="J6:J7"/>
    <mergeCell ref="K6:K7"/>
    <mergeCell ref="L6:L7"/>
    <mergeCell ref="N6:N7"/>
    <mergeCell ref="P6:P7"/>
    <mergeCell ref="Q6:Q7"/>
    <mergeCell ref="A9:A15"/>
    <mergeCell ref="A21:A27"/>
    <mergeCell ref="A33:A36"/>
    <mergeCell ref="A132:B132"/>
    <mergeCell ref="A70:A71"/>
    <mergeCell ref="A73:A77"/>
    <mergeCell ref="A79:A86"/>
    <mergeCell ref="A88:A89"/>
    <mergeCell ref="A91:A99"/>
    <mergeCell ref="A101:A102"/>
    <mergeCell ref="A104:A106"/>
    <mergeCell ref="A108:A110"/>
    <mergeCell ref="A112:A115"/>
    <mergeCell ref="A117:A126"/>
    <mergeCell ref="A130:A131"/>
  </mergeCells>
  <printOptions horizontalCentered="1"/>
  <pageMargins left="0.2755905511811024" right="0.2362204724409449" top="0.7874015748031497" bottom="0.4330708661417323" header="0.5118110236220472" footer="0.4330708661417323"/>
  <pageSetup horizontalDpi="600" verticalDpi="600" orientation="landscape" paperSize="9" scale="81" r:id="rId1"/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5"/>
  <sheetViews>
    <sheetView view="pageBreakPreview" zoomScaleSheetLayoutView="100" zoomScalePageLayoutView="0" workbookViewId="0" topLeftCell="A1">
      <selection activeCell="C1" sqref="C1:E1"/>
    </sheetView>
  </sheetViews>
  <sheetFormatPr defaultColWidth="9.140625" defaultRowHeight="15"/>
  <cols>
    <col min="1" max="1" width="3.7109375" style="128" customWidth="1"/>
    <col min="2" max="2" width="46.421875" style="128" customWidth="1"/>
    <col min="3" max="3" width="6.57421875" style="128" customWidth="1"/>
    <col min="4" max="4" width="13.28125" style="128" customWidth="1"/>
    <col min="5" max="5" width="20.140625" style="128" customWidth="1"/>
    <col min="6" max="16384" width="9.140625" style="128" customWidth="1"/>
  </cols>
  <sheetData>
    <row r="1" spans="1:5" ht="67.5" customHeight="1">
      <c r="A1" s="378"/>
      <c r="B1" s="378"/>
      <c r="C1" s="379" t="s">
        <v>509</v>
      </c>
      <c r="D1" s="379"/>
      <c r="E1" s="379"/>
    </row>
    <row r="2" spans="1:5" ht="9" customHeight="1">
      <c r="A2" s="129"/>
      <c r="B2" s="129"/>
      <c r="C2" s="129"/>
      <c r="D2" s="129"/>
      <c r="E2" s="129"/>
    </row>
    <row r="3" spans="1:5" ht="58.5" customHeight="1">
      <c r="A3" s="380" t="s">
        <v>279</v>
      </c>
      <c r="B3" s="380"/>
      <c r="C3" s="380"/>
      <c r="D3" s="380"/>
      <c r="E3" s="380"/>
    </row>
    <row r="4" spans="1:5" ht="12.75">
      <c r="A4" s="129"/>
      <c r="B4" s="129"/>
      <c r="C4" s="129"/>
      <c r="D4" s="129"/>
      <c r="E4" s="129"/>
    </row>
    <row r="5" spans="1:5" ht="15">
      <c r="A5" s="381" t="s">
        <v>280</v>
      </c>
      <c r="B5" s="381"/>
      <c r="C5" s="381"/>
      <c r="D5" s="381"/>
      <c r="E5" s="381"/>
    </row>
    <row r="6" spans="1:5" s="132" customFormat="1" ht="30.75" customHeight="1">
      <c r="A6" s="130" t="s">
        <v>281</v>
      </c>
      <c r="B6" s="130" t="s">
        <v>282</v>
      </c>
      <c r="C6" s="130" t="s">
        <v>60</v>
      </c>
      <c r="D6" s="130" t="s">
        <v>176</v>
      </c>
      <c r="E6" s="131" t="s">
        <v>283</v>
      </c>
    </row>
    <row r="7" spans="1:5" ht="21.75" customHeight="1">
      <c r="A7" s="133">
        <v>1</v>
      </c>
      <c r="B7" s="134" t="s">
        <v>284</v>
      </c>
      <c r="C7" s="382">
        <v>921</v>
      </c>
      <c r="D7" s="383">
        <v>92118</v>
      </c>
      <c r="E7" s="135">
        <v>3040000</v>
      </c>
    </row>
    <row r="8" spans="1:5" ht="21.75" customHeight="1">
      <c r="A8" s="133">
        <v>2</v>
      </c>
      <c r="B8" s="134" t="s">
        <v>285</v>
      </c>
      <c r="C8" s="382"/>
      <c r="D8" s="383"/>
      <c r="E8" s="135">
        <f>2609500+50000</f>
        <v>2659500</v>
      </c>
    </row>
    <row r="9" spans="1:5" ht="21.75" customHeight="1">
      <c r="A9" s="133">
        <v>3</v>
      </c>
      <c r="B9" s="134" t="s">
        <v>286</v>
      </c>
      <c r="C9" s="382"/>
      <c r="D9" s="383"/>
      <c r="E9" s="136">
        <f>2436500+50000</f>
        <v>2486500</v>
      </c>
    </row>
    <row r="10" spans="1:5" ht="21.75" customHeight="1">
      <c r="A10" s="133">
        <v>4</v>
      </c>
      <c r="B10" s="134" t="s">
        <v>287</v>
      </c>
      <c r="C10" s="382"/>
      <c r="D10" s="383"/>
      <c r="E10" s="136">
        <f>1871000+160000</f>
        <v>2031000</v>
      </c>
    </row>
    <row r="11" spans="1:5" ht="21.75" customHeight="1">
      <c r="A11" s="133">
        <v>5</v>
      </c>
      <c r="B11" s="134" t="s">
        <v>288</v>
      </c>
      <c r="C11" s="382"/>
      <c r="D11" s="383"/>
      <c r="E11" s="136">
        <f>3354500+100000</f>
        <v>3454500</v>
      </c>
    </row>
    <row r="12" spans="1:5" ht="21.75" customHeight="1">
      <c r="A12" s="133">
        <v>6</v>
      </c>
      <c r="B12" s="134" t="s">
        <v>289</v>
      </c>
      <c r="C12" s="382"/>
      <c r="D12" s="383"/>
      <c r="E12" s="136">
        <f>2987500+100000</f>
        <v>3087500</v>
      </c>
    </row>
    <row r="13" spans="1:5" ht="21.75" customHeight="1">
      <c r="A13" s="133">
        <v>7</v>
      </c>
      <c r="B13" s="134" t="s">
        <v>290</v>
      </c>
      <c r="C13" s="382"/>
      <c r="D13" s="383"/>
      <c r="E13" s="137">
        <f>560000+5000</f>
        <v>565000</v>
      </c>
    </row>
    <row r="14" spans="1:5" ht="27" customHeight="1">
      <c r="A14" s="133"/>
      <c r="B14" s="138" t="s">
        <v>291</v>
      </c>
      <c r="C14" s="382"/>
      <c r="D14" s="138">
        <v>92118</v>
      </c>
      <c r="E14" s="139">
        <f>SUM(E7:E13)</f>
        <v>17324000</v>
      </c>
    </row>
    <row r="15" spans="1:5" ht="21.75" customHeight="1">
      <c r="A15" s="133">
        <v>8</v>
      </c>
      <c r="B15" s="134" t="s">
        <v>292</v>
      </c>
      <c r="C15" s="382"/>
      <c r="D15" s="383">
        <v>92109</v>
      </c>
      <c r="E15" s="137">
        <f>2595000+100000</f>
        <v>2695000</v>
      </c>
    </row>
    <row r="16" spans="1:5" ht="21.75" customHeight="1">
      <c r="A16" s="133">
        <v>9</v>
      </c>
      <c r="B16" s="134" t="s">
        <v>293</v>
      </c>
      <c r="C16" s="382"/>
      <c r="D16" s="383"/>
      <c r="E16" s="137">
        <f>1780000+50000</f>
        <v>1830000</v>
      </c>
    </row>
    <row r="17" spans="1:5" ht="27" customHeight="1">
      <c r="A17" s="133"/>
      <c r="B17" s="138" t="s">
        <v>294</v>
      </c>
      <c r="C17" s="382"/>
      <c r="D17" s="138">
        <v>92109</v>
      </c>
      <c r="E17" s="139">
        <f>SUM(E15:E16)</f>
        <v>4525000</v>
      </c>
    </row>
    <row r="18" spans="1:5" ht="27" customHeight="1">
      <c r="A18" s="133">
        <v>10</v>
      </c>
      <c r="B18" s="134" t="s">
        <v>295</v>
      </c>
      <c r="C18" s="382"/>
      <c r="D18" s="133">
        <v>92106</v>
      </c>
      <c r="E18" s="137">
        <f>3996000+110000</f>
        <v>4106000</v>
      </c>
    </row>
    <row r="19" spans="1:5" ht="27" customHeight="1">
      <c r="A19" s="133">
        <v>11</v>
      </c>
      <c r="B19" s="134" t="s">
        <v>296</v>
      </c>
      <c r="C19" s="382"/>
      <c r="D19" s="133">
        <v>92108</v>
      </c>
      <c r="E19" s="137">
        <f>6290000+60000</f>
        <v>6350000</v>
      </c>
    </row>
    <row r="20" spans="1:5" ht="21.75" customHeight="1">
      <c r="A20" s="133">
        <v>12</v>
      </c>
      <c r="B20" s="134" t="s">
        <v>297</v>
      </c>
      <c r="C20" s="382"/>
      <c r="D20" s="133">
        <v>92110</v>
      </c>
      <c r="E20" s="137">
        <f>400000+15000</f>
        <v>415000</v>
      </c>
    </row>
    <row r="21" spans="1:5" ht="21.75" customHeight="1">
      <c r="A21" s="133">
        <v>13</v>
      </c>
      <c r="B21" s="134" t="s">
        <v>298</v>
      </c>
      <c r="C21" s="382"/>
      <c r="D21" s="133">
        <v>92114</v>
      </c>
      <c r="E21" s="137">
        <f>1339000+100000</f>
        <v>1439000</v>
      </c>
    </row>
    <row r="22" spans="1:5" ht="25.5" customHeight="1">
      <c r="A22" s="133">
        <v>14</v>
      </c>
      <c r="B22" s="140" t="s">
        <v>299</v>
      </c>
      <c r="C22" s="382"/>
      <c r="D22" s="133">
        <v>92116</v>
      </c>
      <c r="E22" s="141">
        <f>6207935+100000</f>
        <v>6307935</v>
      </c>
    </row>
    <row r="23" spans="1:5" s="143" customFormat="1" ht="27" customHeight="1">
      <c r="A23" s="364" t="s">
        <v>300</v>
      </c>
      <c r="B23" s="365"/>
      <c r="C23" s="365"/>
      <c r="D23" s="366"/>
      <c r="E23" s="142">
        <f>SUM(E14,E17:E22)</f>
        <v>40466935</v>
      </c>
    </row>
    <row r="24" spans="1:5" s="143" customFormat="1" ht="21.75" customHeight="1">
      <c r="A24" s="144">
        <v>15</v>
      </c>
      <c r="B24" s="145" t="s">
        <v>301</v>
      </c>
      <c r="C24" s="371">
        <v>803</v>
      </c>
      <c r="D24" s="371">
        <v>80395</v>
      </c>
      <c r="E24" s="146">
        <f>400000+100000</f>
        <v>500000</v>
      </c>
    </row>
    <row r="25" spans="1:5" s="143" customFormat="1" ht="21.75" customHeight="1">
      <c r="A25" s="144">
        <v>16</v>
      </c>
      <c r="B25" s="145" t="s">
        <v>302</v>
      </c>
      <c r="C25" s="372"/>
      <c r="D25" s="372"/>
      <c r="E25" s="146">
        <f>400000+100000</f>
        <v>500000</v>
      </c>
    </row>
    <row r="26" spans="1:5" s="143" customFormat="1" ht="32.25" customHeight="1">
      <c r="A26" s="144">
        <v>17</v>
      </c>
      <c r="B26" s="147" t="s">
        <v>303</v>
      </c>
      <c r="C26" s="372"/>
      <c r="D26" s="372"/>
      <c r="E26" s="146">
        <v>200000</v>
      </c>
    </row>
    <row r="27" spans="1:5" s="143" customFormat="1" ht="21.75" customHeight="1">
      <c r="A27" s="144">
        <v>18</v>
      </c>
      <c r="B27" s="145" t="s">
        <v>304</v>
      </c>
      <c r="C27" s="372"/>
      <c r="D27" s="372"/>
      <c r="E27" s="146">
        <v>200000</v>
      </c>
    </row>
    <row r="28" spans="1:5" s="143" customFormat="1" ht="21.75" customHeight="1">
      <c r="A28" s="144">
        <v>19</v>
      </c>
      <c r="B28" s="145" t="s">
        <v>305</v>
      </c>
      <c r="C28" s="372"/>
      <c r="D28" s="372"/>
      <c r="E28" s="146">
        <v>200000</v>
      </c>
    </row>
    <row r="29" spans="1:5" s="143" customFormat="1" ht="21.75" customHeight="1">
      <c r="A29" s="144">
        <v>20</v>
      </c>
      <c r="B29" s="145" t="s">
        <v>306</v>
      </c>
      <c r="C29" s="372"/>
      <c r="D29" s="372"/>
      <c r="E29" s="146">
        <v>200000</v>
      </c>
    </row>
    <row r="30" spans="1:5" s="143" customFormat="1" ht="30" customHeight="1">
      <c r="A30" s="144">
        <v>21</v>
      </c>
      <c r="B30" s="147" t="s">
        <v>307</v>
      </c>
      <c r="C30" s="372"/>
      <c r="D30" s="372"/>
      <c r="E30" s="146">
        <v>200000</v>
      </c>
    </row>
    <row r="31" spans="1:5" s="143" customFormat="1" ht="25.5">
      <c r="A31" s="144">
        <v>22</v>
      </c>
      <c r="B31" s="147" t="s">
        <v>308</v>
      </c>
      <c r="C31" s="373"/>
      <c r="D31" s="373"/>
      <c r="E31" s="146">
        <f>100000+80000</f>
        <v>180000</v>
      </c>
    </row>
    <row r="32" spans="1:5" s="143" customFormat="1" ht="27" customHeight="1">
      <c r="A32" s="364" t="s">
        <v>309</v>
      </c>
      <c r="B32" s="365"/>
      <c r="C32" s="365"/>
      <c r="D32" s="366"/>
      <c r="E32" s="142">
        <f>SUM(E24:E31)</f>
        <v>2180000</v>
      </c>
    </row>
    <row r="33" spans="1:5" s="143" customFormat="1" ht="27" customHeight="1">
      <c r="A33" s="148">
        <v>23</v>
      </c>
      <c r="B33" s="149" t="s">
        <v>310</v>
      </c>
      <c r="C33" s="374">
        <v>851</v>
      </c>
      <c r="D33" s="377">
        <v>85111</v>
      </c>
      <c r="E33" s="137">
        <v>50000</v>
      </c>
    </row>
    <row r="34" spans="1:5" s="143" customFormat="1" ht="27" customHeight="1">
      <c r="A34" s="148">
        <v>24</v>
      </c>
      <c r="B34" s="150" t="s">
        <v>311</v>
      </c>
      <c r="C34" s="375"/>
      <c r="D34" s="377"/>
      <c r="E34" s="137">
        <v>50000</v>
      </c>
    </row>
    <row r="35" spans="1:5" s="143" customFormat="1" ht="27" customHeight="1">
      <c r="A35" s="148">
        <v>25</v>
      </c>
      <c r="B35" s="150" t="s">
        <v>312</v>
      </c>
      <c r="C35" s="375"/>
      <c r="D35" s="377"/>
      <c r="E35" s="137">
        <v>50000</v>
      </c>
    </row>
    <row r="36" spans="1:5" s="143" customFormat="1" ht="27" customHeight="1">
      <c r="A36" s="148">
        <v>26</v>
      </c>
      <c r="B36" s="149" t="s">
        <v>313</v>
      </c>
      <c r="C36" s="375"/>
      <c r="D36" s="377"/>
      <c r="E36" s="137">
        <v>50000</v>
      </c>
    </row>
    <row r="37" spans="1:5" s="143" customFormat="1" ht="27" customHeight="1">
      <c r="A37" s="148">
        <v>27</v>
      </c>
      <c r="B37" s="149" t="s">
        <v>314</v>
      </c>
      <c r="C37" s="375"/>
      <c r="D37" s="377"/>
      <c r="E37" s="137">
        <v>60000</v>
      </c>
    </row>
    <row r="38" spans="1:5" s="143" customFormat="1" ht="27" customHeight="1">
      <c r="A38" s="148"/>
      <c r="B38" s="151" t="s">
        <v>315</v>
      </c>
      <c r="C38" s="375"/>
      <c r="D38" s="152">
        <v>85111</v>
      </c>
      <c r="E38" s="139">
        <f>SUM(E33:E37)</f>
        <v>260000</v>
      </c>
    </row>
    <row r="39" spans="1:5" s="143" customFormat="1" ht="27" customHeight="1">
      <c r="A39" s="133">
        <v>28</v>
      </c>
      <c r="B39" s="150" t="s">
        <v>316</v>
      </c>
      <c r="C39" s="375"/>
      <c r="D39" s="152">
        <v>85121</v>
      </c>
      <c r="E39" s="137">
        <v>50000</v>
      </c>
    </row>
    <row r="40" spans="1:5" s="143" customFormat="1" ht="27" customHeight="1">
      <c r="A40" s="133">
        <v>29</v>
      </c>
      <c r="B40" s="153" t="s">
        <v>317</v>
      </c>
      <c r="C40" s="376"/>
      <c r="D40" s="152">
        <v>85148</v>
      </c>
      <c r="E40" s="137">
        <v>1230000</v>
      </c>
    </row>
    <row r="41" spans="1:5" ht="24.75" customHeight="1">
      <c r="A41" s="364" t="s">
        <v>318</v>
      </c>
      <c r="B41" s="365"/>
      <c r="C41" s="365"/>
      <c r="D41" s="366"/>
      <c r="E41" s="142">
        <f>SUM(E38:E40)</f>
        <v>1540000</v>
      </c>
    </row>
    <row r="42" spans="1:5" ht="24.75" customHeight="1">
      <c r="A42" s="148">
        <v>30</v>
      </c>
      <c r="B42" s="150" t="s">
        <v>319</v>
      </c>
      <c r="C42" s="154">
        <v>853</v>
      </c>
      <c r="D42" s="154">
        <v>85311</v>
      </c>
      <c r="E42" s="137">
        <v>65780</v>
      </c>
    </row>
    <row r="43" spans="1:5" ht="24.75" customHeight="1">
      <c r="A43" s="364" t="s">
        <v>320</v>
      </c>
      <c r="B43" s="365"/>
      <c r="C43" s="365"/>
      <c r="D43" s="366"/>
      <c r="E43" s="142">
        <f>SUM(E42:E42)</f>
        <v>65780</v>
      </c>
    </row>
    <row r="44" spans="1:5" ht="25.5" customHeight="1">
      <c r="A44" s="361" t="s">
        <v>321</v>
      </c>
      <c r="B44" s="362"/>
      <c r="C44" s="362"/>
      <c r="D44" s="363"/>
      <c r="E44" s="155">
        <f>SUM(E23,E32,E41,E43)</f>
        <v>44252715</v>
      </c>
    </row>
    <row r="46" spans="1:5" ht="19.5" customHeight="1">
      <c r="A46" s="367" t="s">
        <v>322</v>
      </c>
      <c r="B46" s="367"/>
      <c r="C46" s="367"/>
      <c r="D46" s="367"/>
      <c r="E46" s="367"/>
    </row>
    <row r="47" spans="1:5" ht="12.75">
      <c r="A47" s="156"/>
      <c r="B47" s="156"/>
      <c r="C47" s="156"/>
      <c r="D47" s="156"/>
      <c r="E47" s="156"/>
    </row>
    <row r="48" spans="1:5" ht="29.25" customHeight="1">
      <c r="A48" s="130" t="s">
        <v>281</v>
      </c>
      <c r="B48" s="130" t="s">
        <v>282</v>
      </c>
      <c r="C48" s="130" t="s">
        <v>60</v>
      </c>
      <c r="D48" s="130" t="s">
        <v>176</v>
      </c>
      <c r="E48" s="131" t="s">
        <v>283</v>
      </c>
    </row>
    <row r="49" spans="1:5" ht="27" customHeight="1">
      <c r="A49" s="148">
        <v>1</v>
      </c>
      <c r="B49" s="150" t="s">
        <v>323</v>
      </c>
      <c r="C49" s="368">
        <v>853</v>
      </c>
      <c r="D49" s="368">
        <v>85311</v>
      </c>
      <c r="E49" s="137">
        <v>82220</v>
      </c>
    </row>
    <row r="50" spans="1:5" ht="27" customHeight="1">
      <c r="A50" s="148">
        <v>2</v>
      </c>
      <c r="B50" s="150" t="s">
        <v>324</v>
      </c>
      <c r="C50" s="369"/>
      <c r="D50" s="369"/>
      <c r="E50" s="137">
        <v>74000</v>
      </c>
    </row>
    <row r="51" spans="1:5" ht="27" customHeight="1">
      <c r="A51" s="148">
        <v>3</v>
      </c>
      <c r="B51" s="150" t="s">
        <v>325</v>
      </c>
      <c r="C51" s="369"/>
      <c r="D51" s="369"/>
      <c r="E51" s="137">
        <v>61670</v>
      </c>
    </row>
    <row r="52" spans="1:5" ht="27" customHeight="1">
      <c r="A52" s="148">
        <v>4</v>
      </c>
      <c r="B52" s="150" t="s">
        <v>326</v>
      </c>
      <c r="C52" s="369"/>
      <c r="D52" s="369"/>
      <c r="E52" s="137">
        <v>82220</v>
      </c>
    </row>
    <row r="53" spans="1:7" ht="27" customHeight="1">
      <c r="A53" s="148">
        <v>5</v>
      </c>
      <c r="B53" s="150" t="s">
        <v>327</v>
      </c>
      <c r="C53" s="369"/>
      <c r="D53" s="369"/>
      <c r="E53" s="137">
        <v>65780</v>
      </c>
      <c r="G53" s="163"/>
    </row>
    <row r="54" spans="1:5" ht="27" customHeight="1">
      <c r="A54" s="148">
        <v>6</v>
      </c>
      <c r="B54" s="150" t="s">
        <v>328</v>
      </c>
      <c r="C54" s="370"/>
      <c r="D54" s="370"/>
      <c r="E54" s="137">
        <v>7540</v>
      </c>
    </row>
    <row r="55" spans="1:7" ht="27" customHeight="1">
      <c r="A55" s="361" t="s">
        <v>321</v>
      </c>
      <c r="B55" s="362"/>
      <c r="C55" s="362"/>
      <c r="D55" s="363"/>
      <c r="E55" s="157">
        <f>SUM(E49:E54)</f>
        <v>373430</v>
      </c>
      <c r="G55" s="163"/>
    </row>
  </sheetData>
  <sheetProtection/>
  <mergeCells count="20">
    <mergeCell ref="A1:B1"/>
    <mergeCell ref="C1:E1"/>
    <mergeCell ref="A3:E3"/>
    <mergeCell ref="A5:E5"/>
    <mergeCell ref="C7:C22"/>
    <mergeCell ref="D7:D13"/>
    <mergeCell ref="D15:D16"/>
    <mergeCell ref="A23:D23"/>
    <mergeCell ref="C24:C31"/>
    <mergeCell ref="D24:D31"/>
    <mergeCell ref="A32:D32"/>
    <mergeCell ref="C33:C40"/>
    <mergeCell ref="D33:D37"/>
    <mergeCell ref="A55:D55"/>
    <mergeCell ref="A41:D41"/>
    <mergeCell ref="A43:D43"/>
    <mergeCell ref="A44:D44"/>
    <mergeCell ref="A46:E46"/>
    <mergeCell ref="C49:C54"/>
    <mergeCell ref="D49:D54"/>
  </mergeCells>
  <printOptions horizontalCentered="1"/>
  <pageMargins left="0.7874015748031497" right="0.31496062992125984" top="0.4724409448818898" bottom="0.6692913385826772" header="0.4330708661417323" footer="0.5118110236220472"/>
  <pageSetup horizontalDpi="600" verticalDpi="600" orientation="portrait" paperSize="9" scale="95" r:id="rId1"/>
  <rowBreaks count="1" manualBreakCount="1">
    <brk id="3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A53"/>
  <sheetViews>
    <sheetView view="pageBreakPreview" zoomScaleSheetLayoutView="100" zoomScalePageLayoutView="0" workbookViewId="0" topLeftCell="A1">
      <selection activeCell="D1" sqref="D1:F1"/>
    </sheetView>
  </sheetViews>
  <sheetFormatPr defaultColWidth="9.140625" defaultRowHeight="15"/>
  <cols>
    <col min="1" max="1" width="3.7109375" style="128" customWidth="1"/>
    <col min="2" max="2" width="36.28125" style="128" customWidth="1"/>
    <col min="3" max="3" width="6.140625" style="128" customWidth="1"/>
    <col min="4" max="4" width="10.00390625" style="128" customWidth="1"/>
    <col min="5" max="5" width="12.57421875" style="128" customWidth="1"/>
    <col min="6" max="6" width="98.57421875" style="128" customWidth="1"/>
    <col min="7" max="7" width="13.28125" style="128" customWidth="1"/>
    <col min="8" max="8" width="9.140625" style="128" customWidth="1"/>
    <col min="9" max="9" width="12.00390625" style="128" customWidth="1"/>
    <col min="10" max="16384" width="9.140625" style="128" customWidth="1"/>
  </cols>
  <sheetData>
    <row r="1" spans="1:6" ht="56.25" customHeight="1">
      <c r="A1" s="378"/>
      <c r="B1" s="378"/>
      <c r="C1" s="378"/>
      <c r="D1" s="396" t="s">
        <v>510</v>
      </c>
      <c r="E1" s="396"/>
      <c r="F1" s="396"/>
    </row>
    <row r="2" spans="1:6" ht="51" customHeight="1">
      <c r="A2" s="380" t="s">
        <v>329</v>
      </c>
      <c r="B2" s="380"/>
      <c r="C2" s="380"/>
      <c r="D2" s="380"/>
      <c r="E2" s="380"/>
      <c r="F2" s="380"/>
    </row>
    <row r="3" spans="1:5" ht="17.25" customHeight="1">
      <c r="A3" s="129"/>
      <c r="B3" s="129"/>
      <c r="C3" s="129"/>
      <c r="D3" s="129"/>
      <c r="E3" s="129"/>
    </row>
    <row r="4" spans="1:27" s="132" customFormat="1" ht="12.75">
      <c r="A4" s="397" t="s">
        <v>281</v>
      </c>
      <c r="B4" s="397" t="s">
        <v>282</v>
      </c>
      <c r="C4" s="397" t="s">
        <v>60</v>
      </c>
      <c r="D4" s="397" t="s">
        <v>176</v>
      </c>
      <c r="E4" s="398" t="s">
        <v>330</v>
      </c>
      <c r="F4" s="398" t="s">
        <v>331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s="143" customFormat="1" ht="21.75" customHeight="1">
      <c r="A5" s="397"/>
      <c r="B5" s="397"/>
      <c r="C5" s="397"/>
      <c r="D5" s="397"/>
      <c r="E5" s="399"/>
      <c r="F5" s="39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6" s="159" customFormat="1" ht="38.25">
      <c r="A6" s="148">
        <v>1</v>
      </c>
      <c r="B6" s="150" t="s">
        <v>311</v>
      </c>
      <c r="C6" s="386">
        <v>851</v>
      </c>
      <c r="D6" s="390">
        <v>85111</v>
      </c>
      <c r="E6" s="160">
        <v>18603038</v>
      </c>
      <c r="F6" s="149" t="s">
        <v>332</v>
      </c>
    </row>
    <row r="7" spans="1:6" ht="12.75">
      <c r="A7" s="133">
        <v>2</v>
      </c>
      <c r="B7" s="140" t="s">
        <v>333</v>
      </c>
      <c r="C7" s="384"/>
      <c r="D7" s="391"/>
      <c r="E7" s="160">
        <v>500000</v>
      </c>
      <c r="F7" s="149" t="s">
        <v>334</v>
      </c>
    </row>
    <row r="8" spans="1:7" ht="25.5">
      <c r="A8" s="148">
        <v>3</v>
      </c>
      <c r="B8" s="140" t="s">
        <v>314</v>
      </c>
      <c r="C8" s="384"/>
      <c r="D8" s="391"/>
      <c r="E8" s="161">
        <v>1410000</v>
      </c>
      <c r="F8" s="162" t="s">
        <v>335</v>
      </c>
      <c r="G8" s="163"/>
    </row>
    <row r="9" spans="1:7" ht="38.25">
      <c r="A9" s="133">
        <v>4</v>
      </c>
      <c r="B9" s="140" t="s">
        <v>336</v>
      </c>
      <c r="C9" s="384"/>
      <c r="D9" s="391"/>
      <c r="E9" s="161">
        <v>2690000</v>
      </c>
      <c r="F9" s="162" t="s">
        <v>337</v>
      </c>
      <c r="G9" s="163"/>
    </row>
    <row r="10" spans="1:6" ht="51">
      <c r="A10" s="148">
        <v>5</v>
      </c>
      <c r="B10" s="140" t="s">
        <v>338</v>
      </c>
      <c r="C10" s="384"/>
      <c r="D10" s="391"/>
      <c r="E10" s="161">
        <v>7240000</v>
      </c>
      <c r="F10" s="162" t="s">
        <v>339</v>
      </c>
    </row>
    <row r="11" spans="1:6" ht="25.5">
      <c r="A11" s="133">
        <v>6</v>
      </c>
      <c r="B11" s="140" t="s">
        <v>340</v>
      </c>
      <c r="C11" s="384"/>
      <c r="D11" s="392"/>
      <c r="E11" s="161">
        <v>1640000</v>
      </c>
      <c r="F11" s="162" t="s">
        <v>341</v>
      </c>
    </row>
    <row r="12" spans="1:7" ht="38.25">
      <c r="A12" s="148">
        <v>7</v>
      </c>
      <c r="B12" s="140" t="s">
        <v>342</v>
      </c>
      <c r="C12" s="384"/>
      <c r="D12" s="386">
        <v>85120</v>
      </c>
      <c r="E12" s="161">
        <f>3620000+200000</f>
        <v>3820000</v>
      </c>
      <c r="F12" s="162" t="s">
        <v>506</v>
      </c>
      <c r="G12" s="163"/>
    </row>
    <row r="13" spans="1:7" ht="114.75">
      <c r="A13" s="133">
        <v>8</v>
      </c>
      <c r="B13" s="140" t="s">
        <v>343</v>
      </c>
      <c r="C13" s="384"/>
      <c r="D13" s="385"/>
      <c r="E13" s="161">
        <v>4550000</v>
      </c>
      <c r="F13" s="162" t="s">
        <v>344</v>
      </c>
      <c r="G13" s="163"/>
    </row>
    <row r="14" spans="1:7" ht="25.5">
      <c r="A14" s="164">
        <v>9</v>
      </c>
      <c r="B14" s="165" t="s">
        <v>345</v>
      </c>
      <c r="C14" s="384"/>
      <c r="D14" s="166">
        <v>85121</v>
      </c>
      <c r="E14" s="161">
        <v>90000</v>
      </c>
      <c r="F14" s="162" t="s">
        <v>346</v>
      </c>
      <c r="G14" s="167"/>
    </row>
    <row r="15" spans="1:6" ht="25.5">
      <c r="A15" s="133">
        <v>10</v>
      </c>
      <c r="B15" s="150" t="s">
        <v>311</v>
      </c>
      <c r="C15" s="385"/>
      <c r="D15" s="133">
        <v>85141</v>
      </c>
      <c r="E15" s="161">
        <v>500000</v>
      </c>
      <c r="F15" s="162" t="s">
        <v>347</v>
      </c>
    </row>
    <row r="16" spans="1:6" s="170" customFormat="1" ht="24.75" customHeight="1">
      <c r="A16" s="393" t="s">
        <v>318</v>
      </c>
      <c r="B16" s="394"/>
      <c r="C16" s="394"/>
      <c r="D16" s="395"/>
      <c r="E16" s="168">
        <f>SUM(E6:E15)</f>
        <v>41043038</v>
      </c>
      <c r="F16" s="169"/>
    </row>
    <row r="17" spans="1:6" ht="25.5">
      <c r="A17" s="148">
        <v>11</v>
      </c>
      <c r="B17" s="140" t="s">
        <v>348</v>
      </c>
      <c r="C17" s="386">
        <v>921</v>
      </c>
      <c r="D17" s="133">
        <v>92108</v>
      </c>
      <c r="E17" s="141">
        <v>4497997</v>
      </c>
      <c r="F17" s="162" t="s">
        <v>349</v>
      </c>
    </row>
    <row r="18" spans="1:7" ht="12.75">
      <c r="A18" s="148">
        <v>12</v>
      </c>
      <c r="B18" s="134" t="s">
        <v>293</v>
      </c>
      <c r="C18" s="384"/>
      <c r="D18" s="386">
        <v>92109</v>
      </c>
      <c r="E18" s="141">
        <v>276940</v>
      </c>
      <c r="F18" s="162" t="s">
        <v>350</v>
      </c>
      <c r="G18" s="163"/>
    </row>
    <row r="19" spans="1:6" ht="12.75">
      <c r="A19" s="148">
        <v>13</v>
      </c>
      <c r="B19" s="134" t="s">
        <v>292</v>
      </c>
      <c r="C19" s="384"/>
      <c r="D19" s="385"/>
      <c r="E19" s="141">
        <v>12000</v>
      </c>
      <c r="F19" s="162" t="s">
        <v>351</v>
      </c>
    </row>
    <row r="20" spans="1:6" ht="12.75">
      <c r="A20" s="148">
        <v>14</v>
      </c>
      <c r="B20" s="134" t="s">
        <v>297</v>
      </c>
      <c r="C20" s="384"/>
      <c r="D20" s="171">
        <v>92110</v>
      </c>
      <c r="E20" s="141">
        <v>33740</v>
      </c>
      <c r="F20" s="162" t="s">
        <v>352</v>
      </c>
    </row>
    <row r="21" spans="1:6" ht="38.25">
      <c r="A21" s="148">
        <v>15</v>
      </c>
      <c r="B21" s="140" t="s">
        <v>353</v>
      </c>
      <c r="C21" s="384"/>
      <c r="D21" s="133">
        <v>92114</v>
      </c>
      <c r="E21" s="141">
        <v>195689</v>
      </c>
      <c r="F21" s="162" t="s">
        <v>354</v>
      </c>
    </row>
    <row r="22" spans="1:6" ht="51">
      <c r="A22" s="148">
        <v>16</v>
      </c>
      <c r="B22" s="140" t="s">
        <v>285</v>
      </c>
      <c r="C22" s="384">
        <v>921</v>
      </c>
      <c r="D22" s="386">
        <v>92118</v>
      </c>
      <c r="E22" s="141">
        <v>115350</v>
      </c>
      <c r="F22" s="162" t="s">
        <v>355</v>
      </c>
    </row>
    <row r="23" spans="1:7" ht="25.5">
      <c r="A23" s="148">
        <v>17</v>
      </c>
      <c r="B23" s="140" t="s">
        <v>284</v>
      </c>
      <c r="C23" s="384"/>
      <c r="D23" s="384"/>
      <c r="E23" s="141">
        <v>540000</v>
      </c>
      <c r="F23" s="162" t="s">
        <v>356</v>
      </c>
      <c r="G23" s="163"/>
    </row>
    <row r="24" spans="1:7" ht="38.25">
      <c r="A24" s="148">
        <v>18</v>
      </c>
      <c r="B24" s="140" t="s">
        <v>357</v>
      </c>
      <c r="C24" s="384"/>
      <c r="D24" s="384"/>
      <c r="E24" s="141">
        <v>4437897</v>
      </c>
      <c r="F24" s="162" t="s">
        <v>358</v>
      </c>
      <c r="G24" s="163"/>
    </row>
    <row r="25" spans="1:6" ht="76.5">
      <c r="A25" s="148">
        <v>19</v>
      </c>
      <c r="B25" s="140" t="s">
        <v>359</v>
      </c>
      <c r="C25" s="384"/>
      <c r="D25" s="384"/>
      <c r="E25" s="141">
        <v>674859</v>
      </c>
      <c r="F25" s="162" t="s">
        <v>360</v>
      </c>
    </row>
    <row r="26" spans="1:6" ht="38.25">
      <c r="A26" s="148">
        <v>20</v>
      </c>
      <c r="B26" s="140" t="s">
        <v>286</v>
      </c>
      <c r="C26" s="384"/>
      <c r="D26" s="384"/>
      <c r="E26" s="141">
        <v>95124</v>
      </c>
      <c r="F26" s="162" t="s">
        <v>361</v>
      </c>
    </row>
    <row r="27" spans="1:6" ht="25.5">
      <c r="A27" s="148">
        <v>21</v>
      </c>
      <c r="B27" s="140" t="s">
        <v>362</v>
      </c>
      <c r="C27" s="384"/>
      <c r="D27" s="384"/>
      <c r="E27" s="141">
        <v>90000</v>
      </c>
      <c r="F27" s="162" t="s">
        <v>363</v>
      </c>
    </row>
    <row r="28" spans="1:7" ht="25.5">
      <c r="A28" s="148">
        <v>22</v>
      </c>
      <c r="B28" s="172" t="s">
        <v>364</v>
      </c>
      <c r="C28" s="385"/>
      <c r="D28" s="385"/>
      <c r="E28" s="141">
        <v>35000</v>
      </c>
      <c r="F28" s="173" t="s">
        <v>365</v>
      </c>
      <c r="G28" s="163"/>
    </row>
    <row r="29" spans="1:14" s="176" customFormat="1" ht="19.5" customHeight="1">
      <c r="A29" s="387" t="s">
        <v>300</v>
      </c>
      <c r="B29" s="388"/>
      <c r="C29" s="388"/>
      <c r="D29" s="389"/>
      <c r="E29" s="168">
        <f>SUM(E17:E28)</f>
        <v>11004596</v>
      </c>
      <c r="F29" s="174"/>
      <c r="G29" s="175"/>
      <c r="H29" s="175"/>
      <c r="I29" s="175"/>
      <c r="J29" s="175"/>
      <c r="K29" s="175"/>
      <c r="L29" s="175"/>
      <c r="M29" s="175"/>
      <c r="N29" s="175"/>
    </row>
    <row r="30" spans="1:6" s="179" customFormat="1" ht="27.75" customHeight="1">
      <c r="A30" s="361" t="s">
        <v>278</v>
      </c>
      <c r="B30" s="362"/>
      <c r="C30" s="362"/>
      <c r="D30" s="363"/>
      <c r="E30" s="177">
        <f>E29+E16</f>
        <v>52047634</v>
      </c>
      <c r="F30" s="178"/>
    </row>
    <row r="53" ht="12.75">
      <c r="E53" s="163"/>
    </row>
  </sheetData>
  <sheetProtection/>
  <mergeCells count="19">
    <mergeCell ref="A1:C1"/>
    <mergeCell ref="D1:F1"/>
    <mergeCell ref="A2:F2"/>
    <mergeCell ref="A4:A5"/>
    <mergeCell ref="B4:B5"/>
    <mergeCell ref="C4:C5"/>
    <mergeCell ref="D4:D5"/>
    <mergeCell ref="E4:E5"/>
    <mergeCell ref="F4:F5"/>
    <mergeCell ref="C22:C28"/>
    <mergeCell ref="D22:D28"/>
    <mergeCell ref="A29:D29"/>
    <mergeCell ref="A30:D30"/>
    <mergeCell ref="C6:C15"/>
    <mergeCell ref="D6:D11"/>
    <mergeCell ref="D12:D13"/>
    <mergeCell ref="A16:D16"/>
    <mergeCell ref="C17:C21"/>
    <mergeCell ref="D18:D19"/>
  </mergeCells>
  <printOptions horizontalCentered="1"/>
  <pageMargins left="0.4330708661417323" right="0.35433070866141736" top="0.6692913385826772" bottom="0.5511811023622047" header="0.5905511811023623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43"/>
  <sheetViews>
    <sheetView view="pageBreakPreview" zoomScale="120" zoomScaleSheetLayoutView="120" zoomScalePageLayoutView="0" workbookViewId="0" topLeftCell="A1">
      <selection activeCell="D1" sqref="D1:E1"/>
    </sheetView>
  </sheetViews>
  <sheetFormatPr defaultColWidth="9.140625" defaultRowHeight="15"/>
  <cols>
    <col min="1" max="1" width="7.140625" style="58" customWidth="1"/>
    <col min="2" max="2" width="10.421875" style="58" customWidth="1"/>
    <col min="3" max="3" width="12.8515625" style="58" customWidth="1"/>
    <col min="4" max="4" width="13.140625" style="58" customWidth="1"/>
    <col min="5" max="5" width="63.00390625" style="58" customWidth="1"/>
    <col min="6" max="16384" width="9.140625" style="58" customWidth="1"/>
  </cols>
  <sheetData>
    <row r="1" spans="1:5" ht="72" customHeight="1">
      <c r="A1" s="401"/>
      <c r="B1" s="401"/>
      <c r="C1" s="401"/>
      <c r="D1" s="379" t="s">
        <v>511</v>
      </c>
      <c r="E1" s="379"/>
    </row>
    <row r="2" spans="1:5" ht="77.25" customHeight="1">
      <c r="A2" s="402" t="s">
        <v>366</v>
      </c>
      <c r="B2" s="402"/>
      <c r="C2" s="402"/>
      <c r="D2" s="402"/>
      <c r="E2" s="402"/>
    </row>
    <row r="3" spans="1:5" ht="23.25" customHeight="1">
      <c r="A3" s="172"/>
      <c r="B3" s="172"/>
      <c r="C3" s="172"/>
      <c r="D3" s="180"/>
      <c r="E3" s="181" t="s">
        <v>367</v>
      </c>
    </row>
    <row r="4" spans="1:5" ht="30" customHeight="1">
      <c r="A4" s="250" t="s">
        <v>60</v>
      </c>
      <c r="B4" s="250" t="s">
        <v>176</v>
      </c>
      <c r="C4" s="215" t="s">
        <v>368</v>
      </c>
      <c r="D4" s="215" t="s">
        <v>369</v>
      </c>
      <c r="E4" s="214" t="s">
        <v>331</v>
      </c>
    </row>
    <row r="5" spans="1:5" ht="76.5">
      <c r="A5" s="183" t="s">
        <v>64</v>
      </c>
      <c r="B5" s="183" t="s">
        <v>195</v>
      </c>
      <c r="C5" s="184">
        <v>300000</v>
      </c>
      <c r="D5" s="184">
        <v>300000</v>
      </c>
      <c r="E5" s="328" t="s">
        <v>370</v>
      </c>
    </row>
    <row r="6" spans="1:5" ht="41.25" customHeight="1">
      <c r="A6" s="403">
        <v>750</v>
      </c>
      <c r="B6" s="234">
        <v>75011</v>
      </c>
      <c r="C6" s="184">
        <v>1372119</v>
      </c>
      <c r="D6" s="184">
        <v>187000</v>
      </c>
      <c r="E6" s="405" t="s">
        <v>371</v>
      </c>
    </row>
    <row r="7" spans="1:5" ht="45" customHeight="1">
      <c r="A7" s="404"/>
      <c r="B7" s="234">
        <v>75095</v>
      </c>
      <c r="C7" s="184">
        <v>1505250</v>
      </c>
      <c r="D7" s="184">
        <v>120000</v>
      </c>
      <c r="E7" s="406"/>
    </row>
    <row r="8" spans="1:5" ht="38.25">
      <c r="A8" s="185">
        <v>754</v>
      </c>
      <c r="B8" s="234">
        <v>75415</v>
      </c>
      <c r="C8" s="184">
        <v>200000</v>
      </c>
      <c r="D8" s="184">
        <v>200000</v>
      </c>
      <c r="E8" s="329" t="s">
        <v>372</v>
      </c>
    </row>
    <row r="9" spans="1:5" ht="38.25">
      <c r="A9" s="234">
        <v>801</v>
      </c>
      <c r="B9" s="234">
        <v>80195</v>
      </c>
      <c r="C9" s="186">
        <v>823748</v>
      </c>
      <c r="D9" s="187">
        <v>200000</v>
      </c>
      <c r="E9" s="328" t="s">
        <v>373</v>
      </c>
    </row>
    <row r="10" spans="1:5" ht="42.75" customHeight="1">
      <c r="A10" s="407" t="s">
        <v>252</v>
      </c>
      <c r="B10" s="183" t="s">
        <v>374</v>
      </c>
      <c r="C10" s="160">
        <v>70000</v>
      </c>
      <c r="D10" s="160">
        <v>60000</v>
      </c>
      <c r="E10" s="162" t="s">
        <v>375</v>
      </c>
    </row>
    <row r="11" spans="1:5" ht="56.25" customHeight="1">
      <c r="A11" s="407"/>
      <c r="B11" s="183" t="s">
        <v>376</v>
      </c>
      <c r="C11" s="160">
        <v>359200</v>
      </c>
      <c r="D11" s="160">
        <v>250000</v>
      </c>
      <c r="E11" s="330" t="s">
        <v>377</v>
      </c>
    </row>
    <row r="12" spans="1:5" ht="51">
      <c r="A12" s="188" t="s">
        <v>253</v>
      </c>
      <c r="B12" s="183" t="s">
        <v>378</v>
      </c>
      <c r="C12" s="160">
        <v>2260700</v>
      </c>
      <c r="D12" s="160">
        <v>700000</v>
      </c>
      <c r="E12" s="330" t="s">
        <v>379</v>
      </c>
    </row>
    <row r="13" spans="1:5" ht="76.5">
      <c r="A13" s="188" t="s">
        <v>254</v>
      </c>
      <c r="B13" s="183" t="s">
        <v>380</v>
      </c>
      <c r="C13" s="160">
        <v>810110</v>
      </c>
      <c r="D13" s="160">
        <v>370000</v>
      </c>
      <c r="E13" s="330" t="s">
        <v>381</v>
      </c>
    </row>
    <row r="14" spans="1:5" ht="38.25">
      <c r="A14" s="188" t="s">
        <v>262</v>
      </c>
      <c r="B14" s="183" t="s">
        <v>263</v>
      </c>
      <c r="C14" s="160">
        <v>1190000</v>
      </c>
      <c r="D14" s="160">
        <v>900000</v>
      </c>
      <c r="E14" s="140" t="s">
        <v>382</v>
      </c>
    </row>
    <row r="15" spans="1:5" ht="38.25">
      <c r="A15" s="188" t="s">
        <v>262</v>
      </c>
      <c r="B15" s="183" t="s">
        <v>271</v>
      </c>
      <c r="C15" s="160">
        <v>4000000</v>
      </c>
      <c r="D15" s="189">
        <v>4000000</v>
      </c>
      <c r="E15" s="140" t="s">
        <v>383</v>
      </c>
    </row>
    <row r="16" spans="1:5" ht="59.25" customHeight="1">
      <c r="A16" s="188" t="s">
        <v>275</v>
      </c>
      <c r="B16" s="183" t="s">
        <v>277</v>
      </c>
      <c r="C16" s="239">
        <v>3590000</v>
      </c>
      <c r="D16" s="239">
        <f>2840000+120000</f>
        <v>2960000</v>
      </c>
      <c r="E16" s="140" t="s">
        <v>384</v>
      </c>
    </row>
    <row r="17" spans="1:5" s="191" customFormat="1" ht="30" customHeight="1">
      <c r="A17" s="400" t="s">
        <v>385</v>
      </c>
      <c r="B17" s="400"/>
      <c r="C17" s="240">
        <f>SUM(C5:C16)</f>
        <v>16481127</v>
      </c>
      <c r="D17" s="240">
        <f>SUM(D5:D16)</f>
        <v>10247000</v>
      </c>
      <c r="E17" s="327"/>
    </row>
    <row r="18" spans="1:5" ht="12.75">
      <c r="A18" s="192"/>
      <c r="B18" s="192"/>
      <c r="C18" s="193"/>
      <c r="D18" s="193"/>
      <c r="E18" s="194"/>
    </row>
    <row r="19" spans="1:5" ht="12.75">
      <c r="A19" s="192"/>
      <c r="B19" s="192"/>
      <c r="C19" s="193"/>
      <c r="D19" s="193"/>
      <c r="E19" s="194"/>
    </row>
    <row r="20" spans="1:5" ht="12.75">
      <c r="A20" s="192"/>
      <c r="B20" s="192"/>
      <c r="C20" s="193"/>
      <c r="D20" s="193"/>
      <c r="E20" s="194"/>
    </row>
    <row r="21" spans="1:5" ht="12.75">
      <c r="A21" s="192"/>
      <c r="B21" s="192"/>
      <c r="C21" s="193"/>
      <c r="D21" s="193"/>
      <c r="E21" s="194"/>
    </row>
    <row r="22" spans="1:5" ht="12.75">
      <c r="A22" s="192"/>
      <c r="B22" s="192"/>
      <c r="C22" s="193"/>
      <c r="D22" s="193"/>
      <c r="E22" s="194"/>
    </row>
    <row r="23" spans="1:5" ht="12.75">
      <c r="A23" s="192"/>
      <c r="B23" s="192"/>
      <c r="C23" s="193"/>
      <c r="D23" s="193"/>
      <c r="E23" s="194"/>
    </row>
    <row r="24" spans="1:5" ht="12.75">
      <c r="A24" s="192"/>
      <c r="B24" s="192"/>
      <c r="C24" s="193"/>
      <c r="D24" s="193"/>
      <c r="E24" s="194"/>
    </row>
    <row r="25" spans="1:5" ht="12.75">
      <c r="A25" s="192"/>
      <c r="B25" s="192"/>
      <c r="C25" s="193"/>
      <c r="D25" s="193"/>
      <c r="E25" s="194"/>
    </row>
    <row r="26" spans="1:5" ht="12.75">
      <c r="A26" s="192"/>
      <c r="B26" s="192"/>
      <c r="C26" s="193"/>
      <c r="D26" s="193"/>
      <c r="E26" s="194"/>
    </row>
    <row r="27" spans="1:5" ht="12.75">
      <c r="A27" s="192"/>
      <c r="B27" s="192"/>
      <c r="C27" s="193"/>
      <c r="D27" s="193"/>
      <c r="E27" s="194"/>
    </row>
    <row r="28" spans="1:5" ht="12.75">
      <c r="A28" s="192"/>
      <c r="B28" s="192"/>
      <c r="C28" s="193"/>
      <c r="D28" s="193"/>
      <c r="E28" s="194"/>
    </row>
    <row r="29" spans="1:5" ht="12.75">
      <c r="A29" s="192"/>
      <c r="B29" s="192"/>
      <c r="C29" s="193"/>
      <c r="D29" s="193"/>
      <c r="E29" s="194"/>
    </row>
    <row r="30" spans="1:5" ht="12.75">
      <c r="A30" s="192"/>
      <c r="B30" s="192"/>
      <c r="C30" s="193"/>
      <c r="D30" s="193"/>
      <c r="E30" s="194"/>
    </row>
    <row r="31" spans="1:5" ht="12.75">
      <c r="A31" s="192"/>
      <c r="B31" s="192"/>
      <c r="C31" s="193"/>
      <c r="D31" s="193"/>
      <c r="E31" s="194"/>
    </row>
    <row r="32" spans="1:4" ht="12.75">
      <c r="A32" s="192"/>
      <c r="B32" s="195"/>
      <c r="C32" s="196"/>
      <c r="D32" s="196"/>
    </row>
    <row r="33" spans="1:4" ht="12.75">
      <c r="A33" s="192"/>
      <c r="B33" s="195"/>
      <c r="C33" s="196"/>
      <c r="D33" s="196"/>
    </row>
    <row r="34" spans="1:4" ht="12.75">
      <c r="A34" s="192"/>
      <c r="B34" s="195"/>
      <c r="C34" s="196"/>
      <c r="D34" s="196"/>
    </row>
    <row r="35" spans="1:4" ht="12.75">
      <c r="A35" s="192"/>
      <c r="B35" s="195"/>
      <c r="C35" s="196"/>
      <c r="D35" s="196"/>
    </row>
    <row r="36" spans="1:4" ht="12.75">
      <c r="A36" s="192"/>
      <c r="B36" s="195"/>
      <c r="C36" s="196"/>
      <c r="D36" s="196"/>
    </row>
    <row r="37" spans="1:4" ht="12.75">
      <c r="A37" s="192"/>
      <c r="B37" s="195"/>
      <c r="C37" s="196"/>
      <c r="D37" s="196"/>
    </row>
    <row r="38" spans="1:4" ht="12.75">
      <c r="A38" s="192"/>
      <c r="B38" s="195"/>
      <c r="C38" s="196"/>
      <c r="D38" s="196"/>
    </row>
    <row r="39" spans="1:4" ht="12.75">
      <c r="A39" s="192"/>
      <c r="B39" s="195"/>
      <c r="C39" s="196"/>
      <c r="D39" s="196"/>
    </row>
    <row r="40" spans="1:4" ht="12.75">
      <c r="A40" s="192"/>
      <c r="B40" s="195"/>
      <c r="C40" s="196"/>
      <c r="D40" s="196"/>
    </row>
    <row r="41" spans="1:4" ht="12.75">
      <c r="A41" s="192"/>
      <c r="B41" s="195"/>
      <c r="C41" s="196"/>
      <c r="D41" s="196"/>
    </row>
    <row r="42" spans="1:4" ht="12.75">
      <c r="A42" s="192"/>
      <c r="B42" s="195"/>
      <c r="C42" s="196"/>
      <c r="D42" s="196"/>
    </row>
    <row r="43" spans="1:4" ht="12.75">
      <c r="A43" s="192"/>
      <c r="B43" s="195"/>
      <c r="C43" s="196"/>
      <c r="D43" s="196"/>
    </row>
    <row r="44" spans="1:4" ht="12.75">
      <c r="A44" s="192"/>
      <c r="B44" s="195"/>
      <c r="C44" s="196"/>
      <c r="D44" s="196"/>
    </row>
    <row r="45" spans="1:4" ht="12.75">
      <c r="A45" s="192"/>
      <c r="B45" s="195"/>
      <c r="C45" s="196"/>
      <c r="D45" s="196"/>
    </row>
    <row r="46" spans="1:4" ht="12.75">
      <c r="A46" s="192"/>
      <c r="B46" s="195"/>
      <c r="C46" s="196"/>
      <c r="D46" s="196"/>
    </row>
    <row r="47" spans="1:4" ht="12.75">
      <c r="A47" s="192"/>
      <c r="B47" s="195"/>
      <c r="C47" s="196"/>
      <c r="D47" s="196"/>
    </row>
    <row r="48" spans="1:4" ht="12.75">
      <c r="A48" s="192"/>
      <c r="B48" s="195"/>
      <c r="C48" s="196"/>
      <c r="D48" s="196"/>
    </row>
    <row r="49" spans="1:4" ht="12.75">
      <c r="A49" s="192"/>
      <c r="B49" s="195"/>
      <c r="C49" s="196"/>
      <c r="D49" s="196"/>
    </row>
    <row r="50" spans="1:4" ht="12.75">
      <c r="A50" s="192"/>
      <c r="B50" s="195"/>
      <c r="C50" s="196"/>
      <c r="D50" s="196"/>
    </row>
    <row r="51" spans="1:4" ht="12.75">
      <c r="A51" s="192"/>
      <c r="B51" s="195"/>
      <c r="C51" s="196"/>
      <c r="D51" s="196"/>
    </row>
    <row r="52" spans="1:4" ht="12.75">
      <c r="A52" s="192"/>
      <c r="B52" s="195"/>
      <c r="C52" s="196"/>
      <c r="D52" s="196"/>
    </row>
    <row r="53" spans="1:4" ht="12.75">
      <c r="A53" s="192"/>
      <c r="B53" s="195"/>
      <c r="C53" s="196"/>
      <c r="D53" s="196"/>
    </row>
    <row r="54" spans="1:4" ht="12.75">
      <c r="A54" s="192"/>
      <c r="B54" s="195"/>
      <c r="C54" s="196"/>
      <c r="D54" s="196"/>
    </row>
    <row r="55" spans="1:4" ht="12.75">
      <c r="A55" s="192"/>
      <c r="B55" s="195"/>
      <c r="C55" s="196"/>
      <c r="D55" s="196"/>
    </row>
    <row r="56" spans="1:4" ht="12.75">
      <c r="A56" s="192"/>
      <c r="B56" s="195"/>
      <c r="C56" s="196"/>
      <c r="D56" s="196"/>
    </row>
    <row r="57" spans="1:4" ht="12.75">
      <c r="A57" s="192"/>
      <c r="B57" s="195"/>
      <c r="C57" s="196"/>
      <c r="D57" s="196"/>
    </row>
    <row r="58" spans="1:4" ht="12.75">
      <c r="A58" s="192"/>
      <c r="B58" s="195"/>
      <c r="C58" s="196"/>
      <c r="D58" s="196"/>
    </row>
    <row r="59" spans="1:4" ht="12.75">
      <c r="A59" s="192"/>
      <c r="B59" s="195"/>
      <c r="C59" s="196"/>
      <c r="D59" s="196"/>
    </row>
    <row r="60" spans="1:4" ht="12.75">
      <c r="A60" s="192"/>
      <c r="B60" s="195"/>
      <c r="C60" s="196"/>
      <c r="D60" s="196"/>
    </row>
    <row r="61" spans="1:4" ht="12.75">
      <c r="A61" s="192"/>
      <c r="B61" s="195"/>
      <c r="C61" s="196"/>
      <c r="D61" s="196"/>
    </row>
    <row r="62" spans="1:4" ht="12.75">
      <c r="A62" s="192"/>
      <c r="B62" s="195"/>
      <c r="C62" s="196"/>
      <c r="D62" s="196"/>
    </row>
    <row r="63" spans="1:4" ht="12.75">
      <c r="A63" s="192"/>
      <c r="B63" s="195"/>
      <c r="C63" s="196"/>
      <c r="D63" s="196"/>
    </row>
    <row r="64" spans="1:4" ht="12.75">
      <c r="A64" s="192"/>
      <c r="B64" s="195"/>
      <c r="C64" s="128"/>
      <c r="D64" s="128"/>
    </row>
    <row r="65" spans="1:4" ht="12.75">
      <c r="A65" s="192"/>
      <c r="B65" s="195"/>
      <c r="C65" s="128"/>
      <c r="D65" s="128"/>
    </row>
    <row r="66" spans="1:4" ht="12.75">
      <c r="A66" s="192"/>
      <c r="B66" s="195"/>
      <c r="C66" s="128"/>
      <c r="D66" s="128"/>
    </row>
    <row r="67" spans="1:4" ht="12.75">
      <c r="A67" s="192"/>
      <c r="B67" s="197"/>
      <c r="C67" s="128"/>
      <c r="D67" s="128"/>
    </row>
    <row r="68" spans="1:4" ht="12.75">
      <c r="A68" s="192"/>
      <c r="B68" s="197"/>
      <c r="C68" s="128"/>
      <c r="D68" s="128"/>
    </row>
    <row r="69" spans="1:4" ht="12.75">
      <c r="A69" s="192"/>
      <c r="B69" s="197"/>
      <c r="C69" s="128"/>
      <c r="D69" s="128"/>
    </row>
    <row r="70" spans="1:4" ht="12.75">
      <c r="A70" s="192"/>
      <c r="B70" s="197"/>
      <c r="C70" s="128"/>
      <c r="D70" s="128"/>
    </row>
    <row r="71" spans="1:4" ht="12.75">
      <c r="A71" s="192"/>
      <c r="B71" s="197"/>
      <c r="C71" s="128"/>
      <c r="D71" s="128"/>
    </row>
    <row r="72" spans="1:4" ht="12.75">
      <c r="A72" s="192"/>
      <c r="B72" s="197"/>
      <c r="C72" s="128"/>
      <c r="D72" s="128"/>
    </row>
    <row r="73" spans="1:4" ht="12.75">
      <c r="A73" s="192"/>
      <c r="B73" s="197"/>
      <c r="C73" s="128"/>
      <c r="D73" s="128"/>
    </row>
    <row r="74" spans="1:4" ht="12.75">
      <c r="A74" s="192"/>
      <c r="B74" s="197"/>
      <c r="C74" s="128"/>
      <c r="D74" s="128"/>
    </row>
    <row r="75" spans="1:4" ht="12.75">
      <c r="A75" s="192"/>
      <c r="B75" s="197"/>
      <c r="C75" s="128"/>
      <c r="D75" s="128"/>
    </row>
    <row r="76" spans="1:4" ht="12.75">
      <c r="A76" s="192"/>
      <c r="B76" s="197"/>
      <c r="C76" s="128"/>
      <c r="D76" s="128"/>
    </row>
    <row r="77" spans="1:4" ht="12.75">
      <c r="A77" s="192"/>
      <c r="B77" s="197"/>
      <c r="C77" s="128"/>
      <c r="D77" s="128"/>
    </row>
    <row r="78" spans="1:4" ht="12.75">
      <c r="A78" s="192"/>
      <c r="B78" s="197"/>
      <c r="C78" s="128"/>
      <c r="D78" s="128"/>
    </row>
    <row r="79" spans="1:4" ht="12.75">
      <c r="A79" s="192"/>
      <c r="B79" s="197"/>
      <c r="C79" s="128"/>
      <c r="D79" s="128"/>
    </row>
    <row r="80" spans="1:4" ht="12.75">
      <c r="A80" s="192"/>
      <c r="B80" s="197"/>
      <c r="C80" s="128"/>
      <c r="D80" s="128"/>
    </row>
    <row r="81" spans="1:4" ht="12.75">
      <c r="A81" s="192"/>
      <c r="B81" s="197"/>
      <c r="C81" s="128"/>
      <c r="D81" s="128"/>
    </row>
    <row r="82" spans="1:4" ht="12.75">
      <c r="A82" s="192"/>
      <c r="B82" s="197"/>
      <c r="C82" s="128"/>
      <c r="D82" s="128"/>
    </row>
    <row r="83" spans="1:4" ht="12.75">
      <c r="A83" s="192"/>
      <c r="B83" s="197"/>
      <c r="C83" s="128"/>
      <c r="D83" s="128"/>
    </row>
    <row r="84" spans="1:4" ht="12.75">
      <c r="A84" s="192"/>
      <c r="B84" s="197"/>
      <c r="C84" s="128"/>
      <c r="D84" s="128"/>
    </row>
    <row r="85" spans="1:4" ht="12.75">
      <c r="A85" s="192"/>
      <c r="B85" s="197"/>
      <c r="C85" s="128"/>
      <c r="D85" s="128"/>
    </row>
    <row r="86" spans="1:4" ht="12.75">
      <c r="A86" s="192"/>
      <c r="B86" s="197"/>
      <c r="C86" s="128"/>
      <c r="D86" s="128"/>
    </row>
    <row r="87" spans="1:4" ht="12.75">
      <c r="A87" s="192"/>
      <c r="B87" s="197"/>
      <c r="C87" s="128"/>
      <c r="D87" s="128"/>
    </row>
    <row r="88" spans="1:4" ht="12.75">
      <c r="A88" s="192"/>
      <c r="B88" s="197"/>
      <c r="C88" s="128"/>
      <c r="D88" s="128"/>
    </row>
    <row r="89" spans="1:4" ht="12.75">
      <c r="A89" s="192"/>
      <c r="B89" s="197"/>
      <c r="C89" s="128"/>
      <c r="D89" s="128"/>
    </row>
    <row r="90" spans="1:4" ht="12.75">
      <c r="A90" s="192"/>
      <c r="B90" s="197"/>
      <c r="C90" s="128"/>
      <c r="D90" s="128"/>
    </row>
    <row r="91" spans="1:2" ht="12.75">
      <c r="A91" s="198"/>
      <c r="B91" s="199"/>
    </row>
    <row r="92" spans="1:2" ht="12.75">
      <c r="A92" s="198"/>
      <c r="B92" s="199"/>
    </row>
    <row r="93" spans="1:2" ht="12.75">
      <c r="A93" s="198"/>
      <c r="B93" s="199"/>
    </row>
    <row r="94" spans="1:2" ht="12.75">
      <c r="A94" s="198"/>
      <c r="B94" s="199"/>
    </row>
    <row r="95" spans="1:2" ht="12.75">
      <c r="A95" s="198"/>
      <c r="B95" s="199"/>
    </row>
    <row r="96" spans="1:2" ht="12.75">
      <c r="A96" s="198"/>
      <c r="B96" s="199"/>
    </row>
    <row r="97" spans="1:2" ht="12.75">
      <c r="A97" s="198"/>
      <c r="B97" s="199"/>
    </row>
    <row r="98" spans="1:2" ht="12.75">
      <c r="A98" s="198"/>
      <c r="B98" s="199"/>
    </row>
    <row r="99" spans="1:2" ht="12.75">
      <c r="A99" s="198"/>
      <c r="B99" s="199"/>
    </row>
    <row r="100" spans="1:2" ht="12.75">
      <c r="A100" s="198"/>
      <c r="B100" s="199"/>
    </row>
    <row r="101" spans="1:2" ht="12.75">
      <c r="A101" s="198"/>
      <c r="B101" s="199"/>
    </row>
    <row r="102" spans="1:2" ht="12.75">
      <c r="A102" s="198"/>
      <c r="B102" s="199"/>
    </row>
    <row r="103" spans="1:2" ht="12.75">
      <c r="A103" s="198"/>
      <c r="B103" s="199"/>
    </row>
    <row r="104" spans="1:2" ht="12.75">
      <c r="A104" s="198"/>
      <c r="B104" s="199"/>
    </row>
    <row r="105" spans="1:2" ht="12.75">
      <c r="A105" s="198"/>
      <c r="B105" s="199"/>
    </row>
    <row r="106" spans="1:2" ht="12.75">
      <c r="A106" s="198"/>
      <c r="B106" s="199"/>
    </row>
    <row r="107" spans="1:2" ht="12.75">
      <c r="A107" s="199"/>
      <c r="B107" s="199"/>
    </row>
    <row r="108" spans="1:2" ht="12.75">
      <c r="A108" s="199"/>
      <c r="B108" s="199"/>
    </row>
    <row r="109" spans="1:2" ht="12.75">
      <c r="A109" s="199"/>
      <c r="B109" s="199"/>
    </row>
    <row r="110" spans="1:2" ht="12.75">
      <c r="A110" s="199"/>
      <c r="B110" s="199"/>
    </row>
    <row r="111" spans="1:2" ht="12.75">
      <c r="A111" s="199"/>
      <c r="B111" s="199"/>
    </row>
    <row r="112" spans="1:2" ht="12.75">
      <c r="A112" s="199"/>
      <c r="B112" s="199"/>
    </row>
    <row r="113" spans="1:2" ht="12.75">
      <c r="A113" s="199"/>
      <c r="B113" s="199"/>
    </row>
    <row r="114" spans="1:2" ht="12.75">
      <c r="A114" s="199"/>
      <c r="B114" s="199"/>
    </row>
    <row r="115" spans="1:2" ht="12.75">
      <c r="A115" s="199"/>
      <c r="B115" s="199"/>
    </row>
    <row r="116" spans="1:2" ht="12.75">
      <c r="A116" s="199"/>
      <c r="B116" s="199"/>
    </row>
    <row r="117" spans="1:2" ht="12.75">
      <c r="A117" s="199"/>
      <c r="B117" s="199"/>
    </row>
    <row r="118" spans="1:2" ht="12.75">
      <c r="A118" s="199"/>
      <c r="B118" s="199"/>
    </row>
    <row r="119" spans="1:2" ht="12.75">
      <c r="A119" s="199"/>
      <c r="B119" s="199"/>
    </row>
    <row r="120" spans="1:2" ht="12.75">
      <c r="A120" s="199"/>
      <c r="B120" s="199"/>
    </row>
    <row r="121" spans="1:2" ht="12.75">
      <c r="A121" s="199"/>
      <c r="B121" s="199"/>
    </row>
    <row r="122" spans="1:2" ht="12.75">
      <c r="A122" s="199"/>
      <c r="B122" s="199"/>
    </row>
    <row r="123" spans="1:2" ht="12.75">
      <c r="A123" s="199"/>
      <c r="B123" s="199"/>
    </row>
    <row r="124" spans="1:2" ht="12.75">
      <c r="A124" s="199"/>
      <c r="B124" s="199"/>
    </row>
    <row r="125" spans="1:2" ht="12.75">
      <c r="A125" s="199"/>
      <c r="B125" s="199"/>
    </row>
    <row r="126" spans="1:2" ht="12.75">
      <c r="A126" s="199"/>
      <c r="B126" s="199"/>
    </row>
    <row r="127" spans="1:2" ht="12.75">
      <c r="A127" s="199"/>
      <c r="B127" s="199"/>
    </row>
    <row r="128" spans="1:2" ht="12.75">
      <c r="A128" s="199"/>
      <c r="B128" s="199"/>
    </row>
    <row r="129" spans="1:2" ht="12.75">
      <c r="A129" s="199"/>
      <c r="B129" s="199"/>
    </row>
    <row r="130" spans="1:2" ht="12.75">
      <c r="A130" s="199"/>
      <c r="B130" s="199"/>
    </row>
    <row r="131" spans="1:2" ht="12.75">
      <c r="A131" s="199"/>
      <c r="B131" s="199"/>
    </row>
    <row r="132" spans="1:2" ht="12.75">
      <c r="A132" s="199"/>
      <c r="B132" s="199"/>
    </row>
    <row r="133" spans="1:2" ht="12.75">
      <c r="A133" s="199"/>
      <c r="B133" s="199"/>
    </row>
    <row r="134" spans="1:2" ht="12.75">
      <c r="A134" s="199"/>
      <c r="B134" s="199"/>
    </row>
    <row r="135" spans="1:2" ht="12.75">
      <c r="A135" s="199"/>
      <c r="B135" s="199"/>
    </row>
    <row r="136" spans="1:2" ht="12.75">
      <c r="A136" s="199"/>
      <c r="B136" s="199"/>
    </row>
    <row r="137" spans="1:2" ht="12.75">
      <c r="A137" s="199"/>
      <c r="B137" s="199"/>
    </row>
    <row r="138" spans="1:2" ht="12.75">
      <c r="A138" s="199"/>
      <c r="B138" s="199"/>
    </row>
    <row r="139" spans="1:2" ht="12.75">
      <c r="A139" s="199"/>
      <c r="B139" s="199"/>
    </row>
    <row r="140" spans="1:2" ht="12.75">
      <c r="A140" s="199"/>
      <c r="B140" s="199"/>
    </row>
    <row r="141" spans="1:2" ht="12.75">
      <c r="A141" s="199"/>
      <c r="B141" s="199"/>
    </row>
    <row r="142" spans="1:2" ht="12.75">
      <c r="A142" s="199"/>
      <c r="B142" s="199"/>
    </row>
    <row r="143" spans="1:2" ht="12.75">
      <c r="A143" s="199"/>
      <c r="B143" s="199"/>
    </row>
  </sheetData>
  <sheetProtection/>
  <mergeCells count="7">
    <mergeCell ref="A17:B17"/>
    <mergeCell ref="A1:C1"/>
    <mergeCell ref="D1:E1"/>
    <mergeCell ref="A2:E2"/>
    <mergeCell ref="A6:A7"/>
    <mergeCell ref="E6:E7"/>
    <mergeCell ref="A10:A11"/>
  </mergeCells>
  <printOptions horizontalCentered="1"/>
  <pageMargins left="0.7874015748031497" right="0.4330708661417323" top="0.7874015748031497" bottom="0.6692913385826772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33"/>
  <sheetViews>
    <sheetView view="pageBreakPreview" zoomScaleSheetLayoutView="100" zoomScalePageLayoutView="0" workbookViewId="0" topLeftCell="A1">
      <selection activeCell="D1" sqref="D1:E1"/>
    </sheetView>
  </sheetViews>
  <sheetFormatPr defaultColWidth="9.140625" defaultRowHeight="15"/>
  <cols>
    <col min="1" max="2" width="8.7109375" style="58" customWidth="1"/>
    <col min="3" max="4" width="18.7109375" style="58" customWidth="1"/>
    <col min="5" max="5" width="32.8515625" style="58" customWidth="1"/>
    <col min="6" max="16384" width="9.140625" style="58" customWidth="1"/>
  </cols>
  <sheetData>
    <row r="1" spans="1:8" ht="61.5" customHeight="1">
      <c r="A1" s="408"/>
      <c r="B1" s="408"/>
      <c r="C1" s="408"/>
      <c r="D1" s="379" t="s">
        <v>512</v>
      </c>
      <c r="E1" s="379"/>
      <c r="F1" s="194"/>
      <c r="G1" s="194"/>
      <c r="H1" s="194"/>
    </row>
    <row r="2" spans="1:9" ht="73.5" customHeight="1">
      <c r="A2" s="402" t="s">
        <v>386</v>
      </c>
      <c r="B2" s="402"/>
      <c r="C2" s="402"/>
      <c r="D2" s="402"/>
      <c r="E2" s="402"/>
      <c r="F2" s="200"/>
      <c r="G2" s="200"/>
      <c r="H2" s="200"/>
      <c r="I2" s="201"/>
    </row>
    <row r="3" spans="1:8" ht="23.25" customHeight="1">
      <c r="A3" s="172"/>
      <c r="B3" s="172"/>
      <c r="C3" s="172"/>
      <c r="D3" s="129"/>
      <c r="E3" s="180" t="s">
        <v>367</v>
      </c>
      <c r="F3" s="194"/>
      <c r="G3" s="194"/>
      <c r="H3" s="194"/>
    </row>
    <row r="4" spans="1:8" ht="30" customHeight="1">
      <c r="A4" s="202" t="s">
        <v>60</v>
      </c>
      <c r="B4" s="202" t="s">
        <v>176</v>
      </c>
      <c r="C4" s="203" t="s">
        <v>368</v>
      </c>
      <c r="D4" s="203" t="s">
        <v>387</v>
      </c>
      <c r="E4" s="202" t="s">
        <v>388</v>
      </c>
      <c r="F4" s="194"/>
      <c r="G4" s="194"/>
      <c r="H4" s="194"/>
    </row>
    <row r="5" spans="1:8" ht="48" customHeight="1">
      <c r="A5" s="409" t="s">
        <v>199</v>
      </c>
      <c r="B5" s="204" t="s">
        <v>200</v>
      </c>
      <c r="C5" s="160">
        <v>36423823</v>
      </c>
      <c r="D5" s="160">
        <v>35000000</v>
      </c>
      <c r="E5" s="205" t="s">
        <v>389</v>
      </c>
      <c r="F5" s="194"/>
      <c r="G5" s="194"/>
      <c r="H5" s="194"/>
    </row>
    <row r="6" spans="1:8" ht="65.25" customHeight="1">
      <c r="A6" s="409"/>
      <c r="B6" s="204" t="s">
        <v>201</v>
      </c>
      <c r="C6" s="160">
        <v>50402000</v>
      </c>
      <c r="D6" s="160">
        <v>50402000</v>
      </c>
      <c r="E6" s="205" t="s">
        <v>390</v>
      </c>
      <c r="F6" s="194"/>
      <c r="G6" s="194"/>
      <c r="H6" s="194"/>
    </row>
    <row r="7" spans="1:8" s="191" customFormat="1" ht="35.25" customHeight="1">
      <c r="A7" s="410" t="s">
        <v>385</v>
      </c>
      <c r="B7" s="410"/>
      <c r="C7" s="206">
        <f>SUM(C5:C6)</f>
        <v>86825823</v>
      </c>
      <c r="D7" s="206">
        <f>SUM(D5:D6)</f>
        <v>85402000</v>
      </c>
      <c r="E7" s="207"/>
      <c r="F7" s="208"/>
      <c r="G7" s="208"/>
      <c r="H7" s="208"/>
    </row>
    <row r="8" spans="1:8" ht="15.75">
      <c r="A8" s="209"/>
      <c r="B8" s="209"/>
      <c r="C8" s="210"/>
      <c r="D8" s="210"/>
      <c r="E8" s="194"/>
      <c r="F8" s="194"/>
      <c r="G8" s="194"/>
      <c r="H8" s="194"/>
    </row>
    <row r="9" spans="1:8" ht="15.75">
      <c r="A9" s="209"/>
      <c r="B9" s="209"/>
      <c r="C9" s="210"/>
      <c r="D9" s="210"/>
      <c r="E9" s="194"/>
      <c r="F9" s="194"/>
      <c r="G9" s="194"/>
      <c r="H9" s="194"/>
    </row>
    <row r="10" spans="1:8" ht="12.75">
      <c r="A10" s="192"/>
      <c r="B10" s="192"/>
      <c r="C10" s="193"/>
      <c r="D10" s="193"/>
      <c r="E10" s="194"/>
      <c r="F10" s="194"/>
      <c r="G10" s="194"/>
      <c r="H10" s="194"/>
    </row>
    <row r="11" spans="1:8" ht="12.75">
      <c r="A11" s="192"/>
      <c r="B11" s="192"/>
      <c r="C11" s="193"/>
      <c r="D11" s="193"/>
      <c r="E11" s="194"/>
      <c r="F11" s="194"/>
      <c r="G11" s="194"/>
      <c r="H11" s="194"/>
    </row>
    <row r="12" spans="1:8" ht="12.75">
      <c r="A12" s="192"/>
      <c r="B12" s="192"/>
      <c r="C12" s="193"/>
      <c r="D12" s="193"/>
      <c r="E12" s="194"/>
      <c r="F12" s="194"/>
      <c r="G12" s="194"/>
      <c r="H12" s="194"/>
    </row>
    <row r="13" spans="1:8" ht="12.75">
      <c r="A13" s="192"/>
      <c r="B13" s="192"/>
      <c r="C13" s="193"/>
      <c r="D13" s="193"/>
      <c r="E13" s="194"/>
      <c r="F13" s="194"/>
      <c r="G13" s="194"/>
      <c r="H13" s="194"/>
    </row>
    <row r="14" spans="1:8" ht="12.75">
      <c r="A14" s="192"/>
      <c r="B14" s="192"/>
      <c r="C14" s="193"/>
      <c r="D14" s="193"/>
      <c r="E14" s="194"/>
      <c r="F14" s="194"/>
      <c r="G14" s="194"/>
      <c r="H14" s="194"/>
    </row>
    <row r="15" spans="1:8" ht="12.75">
      <c r="A15" s="192"/>
      <c r="B15" s="192"/>
      <c r="C15" s="193"/>
      <c r="D15" s="193"/>
      <c r="E15" s="194"/>
      <c r="F15" s="194"/>
      <c r="G15" s="194"/>
      <c r="H15" s="194"/>
    </row>
    <row r="16" spans="1:8" ht="12.75">
      <c r="A16" s="192"/>
      <c r="B16" s="192"/>
      <c r="C16" s="193"/>
      <c r="D16" s="193"/>
      <c r="E16" s="194"/>
      <c r="F16" s="194"/>
      <c r="G16" s="194"/>
      <c r="H16" s="194"/>
    </row>
    <row r="17" spans="1:8" ht="12.75">
      <c r="A17" s="192"/>
      <c r="B17" s="192"/>
      <c r="C17" s="193"/>
      <c r="D17" s="193"/>
      <c r="E17" s="194"/>
      <c r="F17" s="194"/>
      <c r="G17" s="194"/>
      <c r="H17" s="194"/>
    </row>
    <row r="18" spans="1:8" ht="12.75">
      <c r="A18" s="192"/>
      <c r="B18" s="192"/>
      <c r="C18" s="193"/>
      <c r="D18" s="193"/>
      <c r="E18" s="194"/>
      <c r="F18" s="194"/>
      <c r="G18" s="194"/>
      <c r="H18" s="194"/>
    </row>
    <row r="19" spans="1:8" ht="12.75">
      <c r="A19" s="192"/>
      <c r="B19" s="192"/>
      <c r="C19" s="193"/>
      <c r="D19" s="193"/>
      <c r="E19" s="194"/>
      <c r="F19" s="194"/>
      <c r="G19" s="194"/>
      <c r="H19" s="194"/>
    </row>
    <row r="20" spans="1:8" ht="12.75">
      <c r="A20" s="192"/>
      <c r="B20" s="192"/>
      <c r="C20" s="193"/>
      <c r="D20" s="193"/>
      <c r="E20" s="194"/>
      <c r="F20" s="194"/>
      <c r="G20" s="194"/>
      <c r="H20" s="194"/>
    </row>
    <row r="21" spans="1:8" ht="12.75">
      <c r="A21" s="192"/>
      <c r="B21" s="192"/>
      <c r="C21" s="193"/>
      <c r="D21" s="193"/>
      <c r="E21" s="194"/>
      <c r="F21" s="194"/>
      <c r="G21" s="194"/>
      <c r="H21" s="194"/>
    </row>
    <row r="22" spans="1:4" ht="12.75">
      <c r="A22" s="192"/>
      <c r="B22" s="195"/>
      <c r="C22" s="196"/>
      <c r="D22" s="196"/>
    </row>
    <row r="23" spans="1:4" ht="12.75">
      <c r="A23" s="192"/>
      <c r="B23" s="195"/>
      <c r="C23" s="196"/>
      <c r="D23" s="196"/>
    </row>
    <row r="24" spans="1:4" ht="12.75">
      <c r="A24" s="192"/>
      <c r="B24" s="195"/>
      <c r="C24" s="196"/>
      <c r="D24" s="196"/>
    </row>
    <row r="25" spans="1:4" ht="12.75">
      <c r="A25" s="192"/>
      <c r="B25" s="195"/>
      <c r="C25" s="196"/>
      <c r="D25" s="196"/>
    </row>
    <row r="26" spans="1:4" ht="12.75">
      <c r="A26" s="192"/>
      <c r="B26" s="195"/>
      <c r="C26" s="196"/>
      <c r="D26" s="196"/>
    </row>
    <row r="27" spans="1:4" ht="12.75">
      <c r="A27" s="192"/>
      <c r="B27" s="195"/>
      <c r="C27" s="196"/>
      <c r="D27" s="196"/>
    </row>
    <row r="28" spans="1:4" ht="12.75">
      <c r="A28" s="192"/>
      <c r="B28" s="195"/>
      <c r="C28" s="196"/>
      <c r="D28" s="196"/>
    </row>
    <row r="29" spans="1:4" ht="12.75">
      <c r="A29" s="192"/>
      <c r="B29" s="195"/>
      <c r="C29" s="196"/>
      <c r="D29" s="196"/>
    </row>
    <row r="30" spans="1:4" ht="12.75">
      <c r="A30" s="192"/>
      <c r="B30" s="195"/>
      <c r="C30" s="196"/>
      <c r="D30" s="196"/>
    </row>
    <row r="31" spans="1:4" ht="12.75">
      <c r="A31" s="192"/>
      <c r="B31" s="195"/>
      <c r="C31" s="196"/>
      <c r="D31" s="196"/>
    </row>
    <row r="32" spans="1:4" ht="12.75">
      <c r="A32" s="192"/>
      <c r="B32" s="195"/>
      <c r="C32" s="196"/>
      <c r="D32" s="196"/>
    </row>
    <row r="33" spans="1:4" ht="12.75">
      <c r="A33" s="192"/>
      <c r="B33" s="195"/>
      <c r="C33" s="196"/>
      <c r="D33" s="196"/>
    </row>
    <row r="34" spans="1:4" ht="12.75">
      <c r="A34" s="192"/>
      <c r="B34" s="195"/>
      <c r="C34" s="196"/>
      <c r="D34" s="196"/>
    </row>
    <row r="35" spans="1:4" ht="12.75">
      <c r="A35" s="192"/>
      <c r="B35" s="195"/>
      <c r="C35" s="196"/>
      <c r="D35" s="196"/>
    </row>
    <row r="36" spans="1:4" ht="12.75">
      <c r="A36" s="192"/>
      <c r="B36" s="195"/>
      <c r="C36" s="196"/>
      <c r="D36" s="196"/>
    </row>
    <row r="37" spans="1:4" ht="12.75">
      <c r="A37" s="192"/>
      <c r="B37" s="195"/>
      <c r="C37" s="196"/>
      <c r="D37" s="196"/>
    </row>
    <row r="38" spans="1:4" ht="12.75">
      <c r="A38" s="192"/>
      <c r="B38" s="195"/>
      <c r="C38" s="196"/>
      <c r="D38" s="196"/>
    </row>
    <row r="39" spans="1:4" ht="12.75">
      <c r="A39" s="192"/>
      <c r="B39" s="195"/>
      <c r="C39" s="196"/>
      <c r="D39" s="196"/>
    </row>
    <row r="40" spans="1:4" ht="12.75">
      <c r="A40" s="192"/>
      <c r="B40" s="195"/>
      <c r="C40" s="196"/>
      <c r="D40" s="196"/>
    </row>
    <row r="41" spans="1:4" ht="12.75">
      <c r="A41" s="192"/>
      <c r="B41" s="195"/>
      <c r="C41" s="196"/>
      <c r="D41" s="196"/>
    </row>
    <row r="42" spans="1:4" ht="12.75">
      <c r="A42" s="192"/>
      <c r="B42" s="195"/>
      <c r="C42" s="196"/>
      <c r="D42" s="196"/>
    </row>
    <row r="43" spans="1:4" ht="12.75">
      <c r="A43" s="192"/>
      <c r="B43" s="195"/>
      <c r="C43" s="196"/>
      <c r="D43" s="196"/>
    </row>
    <row r="44" spans="1:4" ht="12.75">
      <c r="A44" s="192"/>
      <c r="B44" s="195"/>
      <c r="C44" s="196"/>
      <c r="D44" s="196"/>
    </row>
    <row r="45" spans="1:4" ht="12.75">
      <c r="A45" s="192"/>
      <c r="B45" s="195"/>
      <c r="C45" s="196"/>
      <c r="D45" s="196"/>
    </row>
    <row r="46" spans="1:4" ht="12.75">
      <c r="A46" s="192"/>
      <c r="B46" s="195"/>
      <c r="C46" s="196"/>
      <c r="D46" s="196"/>
    </row>
    <row r="47" spans="1:4" ht="12.75">
      <c r="A47" s="192"/>
      <c r="B47" s="195"/>
      <c r="C47" s="196"/>
      <c r="D47" s="196"/>
    </row>
    <row r="48" spans="1:4" ht="12.75">
      <c r="A48" s="192"/>
      <c r="B48" s="195"/>
      <c r="C48" s="196"/>
      <c r="D48" s="196"/>
    </row>
    <row r="49" spans="1:4" ht="12.75">
      <c r="A49" s="192"/>
      <c r="B49" s="195"/>
      <c r="C49" s="196"/>
      <c r="D49" s="196"/>
    </row>
    <row r="50" spans="1:4" ht="12.75">
      <c r="A50" s="192"/>
      <c r="B50" s="195"/>
      <c r="C50" s="196"/>
      <c r="D50" s="196"/>
    </row>
    <row r="51" spans="1:4" ht="12.75">
      <c r="A51" s="192"/>
      <c r="B51" s="195"/>
      <c r="C51" s="196"/>
      <c r="D51" s="196"/>
    </row>
    <row r="52" spans="1:4" ht="12.75">
      <c r="A52" s="192"/>
      <c r="B52" s="195"/>
      <c r="C52" s="196"/>
      <c r="D52" s="196"/>
    </row>
    <row r="53" spans="1:4" ht="12.75">
      <c r="A53" s="192"/>
      <c r="B53" s="195"/>
      <c r="C53" s="196"/>
      <c r="D53" s="196"/>
    </row>
    <row r="54" spans="1:4" ht="12.75">
      <c r="A54" s="192"/>
      <c r="B54" s="195"/>
      <c r="C54" s="128"/>
      <c r="D54" s="128"/>
    </row>
    <row r="55" spans="1:4" ht="12.75">
      <c r="A55" s="192"/>
      <c r="B55" s="195"/>
      <c r="C55" s="128"/>
      <c r="D55" s="128"/>
    </row>
    <row r="56" spans="1:4" ht="12.75">
      <c r="A56" s="192"/>
      <c r="B56" s="195"/>
      <c r="C56" s="128"/>
      <c r="D56" s="128"/>
    </row>
    <row r="57" spans="1:4" ht="12.75">
      <c r="A57" s="192"/>
      <c r="B57" s="197"/>
      <c r="C57" s="128"/>
      <c r="D57" s="128"/>
    </row>
    <row r="58" spans="1:4" ht="12.75">
      <c r="A58" s="192"/>
      <c r="B58" s="197"/>
      <c r="C58" s="128"/>
      <c r="D58" s="128"/>
    </row>
    <row r="59" spans="1:4" ht="12.75">
      <c r="A59" s="192"/>
      <c r="B59" s="197"/>
      <c r="C59" s="128"/>
      <c r="D59" s="128"/>
    </row>
    <row r="60" spans="1:4" ht="12.75">
      <c r="A60" s="192"/>
      <c r="B60" s="197"/>
      <c r="C60" s="128"/>
      <c r="D60" s="128"/>
    </row>
    <row r="61" spans="1:4" ht="12.75">
      <c r="A61" s="192"/>
      <c r="B61" s="197"/>
      <c r="C61" s="128"/>
      <c r="D61" s="128"/>
    </row>
    <row r="62" spans="1:4" ht="12.75">
      <c r="A62" s="192"/>
      <c r="B62" s="197"/>
      <c r="C62" s="128"/>
      <c r="D62" s="128"/>
    </row>
    <row r="63" spans="1:4" ht="12.75">
      <c r="A63" s="192"/>
      <c r="B63" s="197"/>
      <c r="C63" s="128"/>
      <c r="D63" s="128"/>
    </row>
    <row r="64" spans="1:4" ht="12.75">
      <c r="A64" s="192"/>
      <c r="B64" s="197"/>
      <c r="C64" s="128"/>
      <c r="D64" s="128"/>
    </row>
    <row r="65" spans="1:4" ht="12.75">
      <c r="A65" s="192"/>
      <c r="B65" s="197"/>
      <c r="C65" s="128"/>
      <c r="D65" s="128"/>
    </row>
    <row r="66" spans="1:4" ht="12.75">
      <c r="A66" s="192"/>
      <c r="B66" s="197"/>
      <c r="C66" s="128"/>
      <c r="D66" s="128"/>
    </row>
    <row r="67" spans="1:4" ht="12.75">
      <c r="A67" s="192"/>
      <c r="B67" s="197"/>
      <c r="C67" s="128"/>
      <c r="D67" s="128"/>
    </row>
    <row r="68" spans="1:4" ht="12.75">
      <c r="A68" s="192"/>
      <c r="B68" s="197"/>
      <c r="C68" s="128"/>
      <c r="D68" s="128"/>
    </row>
    <row r="69" spans="1:4" ht="12.75">
      <c r="A69" s="192"/>
      <c r="B69" s="197"/>
      <c r="C69" s="128"/>
      <c r="D69" s="128"/>
    </row>
    <row r="70" spans="1:4" ht="12.75">
      <c r="A70" s="192"/>
      <c r="B70" s="197"/>
      <c r="C70" s="128"/>
      <c r="D70" s="128"/>
    </row>
    <row r="71" spans="1:4" ht="12.75">
      <c r="A71" s="192"/>
      <c r="B71" s="197"/>
      <c r="C71" s="128"/>
      <c r="D71" s="128"/>
    </row>
    <row r="72" spans="1:4" ht="12.75">
      <c r="A72" s="192"/>
      <c r="B72" s="197"/>
      <c r="C72" s="128"/>
      <c r="D72" s="128"/>
    </row>
    <row r="73" spans="1:4" ht="12.75">
      <c r="A73" s="192"/>
      <c r="B73" s="197"/>
      <c r="C73" s="128"/>
      <c r="D73" s="128"/>
    </row>
    <row r="74" spans="1:4" ht="12.75">
      <c r="A74" s="192"/>
      <c r="B74" s="197"/>
      <c r="C74" s="128"/>
      <c r="D74" s="128"/>
    </row>
    <row r="75" spans="1:4" ht="12.75">
      <c r="A75" s="192"/>
      <c r="B75" s="197"/>
      <c r="C75" s="128"/>
      <c r="D75" s="128"/>
    </row>
    <row r="76" spans="1:4" ht="12.75">
      <c r="A76" s="192"/>
      <c r="B76" s="197"/>
      <c r="C76" s="128"/>
      <c r="D76" s="128"/>
    </row>
    <row r="77" spans="1:4" ht="12.75">
      <c r="A77" s="192"/>
      <c r="B77" s="197"/>
      <c r="C77" s="128"/>
      <c r="D77" s="128"/>
    </row>
    <row r="78" spans="1:4" ht="12.75">
      <c r="A78" s="192"/>
      <c r="B78" s="197"/>
      <c r="C78" s="128"/>
      <c r="D78" s="128"/>
    </row>
    <row r="79" spans="1:4" ht="12.75">
      <c r="A79" s="192"/>
      <c r="B79" s="197"/>
      <c r="C79" s="128"/>
      <c r="D79" s="128"/>
    </row>
    <row r="80" spans="1:4" ht="12.75">
      <c r="A80" s="192"/>
      <c r="B80" s="197"/>
      <c r="C80" s="128"/>
      <c r="D80" s="128"/>
    </row>
    <row r="81" spans="1:2" ht="12.75">
      <c r="A81" s="198"/>
      <c r="B81" s="199"/>
    </row>
    <row r="82" spans="1:2" ht="12.75">
      <c r="A82" s="198"/>
      <c r="B82" s="199"/>
    </row>
    <row r="83" spans="1:2" ht="12.75">
      <c r="A83" s="198"/>
      <c r="B83" s="199"/>
    </row>
    <row r="84" spans="1:2" ht="12.75">
      <c r="A84" s="198"/>
      <c r="B84" s="199"/>
    </row>
    <row r="85" spans="1:2" ht="12.75">
      <c r="A85" s="198"/>
      <c r="B85" s="199"/>
    </row>
    <row r="86" spans="1:2" ht="12.75">
      <c r="A86" s="198"/>
      <c r="B86" s="199"/>
    </row>
    <row r="87" spans="1:2" ht="12.75">
      <c r="A87" s="198"/>
      <c r="B87" s="199"/>
    </row>
    <row r="88" spans="1:2" ht="12.75">
      <c r="A88" s="198"/>
      <c r="B88" s="199"/>
    </row>
    <row r="89" spans="1:2" ht="12.75">
      <c r="A89" s="198"/>
      <c r="B89" s="199"/>
    </row>
    <row r="90" spans="1:2" ht="12.75">
      <c r="A90" s="198"/>
      <c r="B90" s="199"/>
    </row>
    <row r="91" spans="1:2" ht="12.75">
      <c r="A91" s="198"/>
      <c r="B91" s="199"/>
    </row>
    <row r="92" spans="1:2" ht="12.75">
      <c r="A92" s="198"/>
      <c r="B92" s="199"/>
    </row>
    <row r="93" spans="1:2" ht="12.75">
      <c r="A93" s="198"/>
      <c r="B93" s="199"/>
    </row>
    <row r="94" spans="1:2" ht="12.75">
      <c r="A94" s="198"/>
      <c r="B94" s="199"/>
    </row>
    <row r="95" spans="1:2" ht="12.75">
      <c r="A95" s="198"/>
      <c r="B95" s="199"/>
    </row>
    <row r="96" spans="1:2" ht="12.75">
      <c r="A96" s="198"/>
      <c r="B96" s="199"/>
    </row>
    <row r="97" spans="1:2" ht="12.75">
      <c r="A97" s="199"/>
      <c r="B97" s="199"/>
    </row>
    <row r="98" spans="1:2" ht="12.75">
      <c r="A98" s="199"/>
      <c r="B98" s="199"/>
    </row>
    <row r="99" spans="1:2" ht="12.75">
      <c r="A99" s="199"/>
      <c r="B99" s="199"/>
    </row>
    <row r="100" spans="1:2" ht="12.75">
      <c r="A100" s="199"/>
      <c r="B100" s="199"/>
    </row>
    <row r="101" spans="1:2" ht="12.75">
      <c r="A101" s="199"/>
      <c r="B101" s="199"/>
    </row>
    <row r="102" spans="1:2" ht="12.75">
      <c r="A102" s="199"/>
      <c r="B102" s="199"/>
    </row>
    <row r="103" spans="1:2" ht="12.75">
      <c r="A103" s="199"/>
      <c r="B103" s="199"/>
    </row>
    <row r="104" spans="1:2" ht="12.75">
      <c r="A104" s="199"/>
      <c r="B104" s="199"/>
    </row>
    <row r="105" spans="1:2" ht="12.75">
      <c r="A105" s="199"/>
      <c r="B105" s="199"/>
    </row>
    <row r="106" spans="1:2" ht="12.75">
      <c r="A106" s="199"/>
      <c r="B106" s="199"/>
    </row>
    <row r="107" spans="1:2" ht="12.75">
      <c r="A107" s="199"/>
      <c r="B107" s="199"/>
    </row>
    <row r="108" spans="1:2" ht="12.75">
      <c r="A108" s="199"/>
      <c r="B108" s="199"/>
    </row>
    <row r="109" spans="1:2" ht="12.75">
      <c r="A109" s="199"/>
      <c r="B109" s="199"/>
    </row>
    <row r="110" spans="1:2" ht="12.75">
      <c r="A110" s="199"/>
      <c r="B110" s="199"/>
    </row>
    <row r="111" spans="1:2" ht="12.75">
      <c r="A111" s="199"/>
      <c r="B111" s="199"/>
    </row>
    <row r="112" spans="1:2" ht="12.75">
      <c r="A112" s="199"/>
      <c r="B112" s="199"/>
    </row>
    <row r="113" spans="1:2" ht="12.75">
      <c r="A113" s="199"/>
      <c r="B113" s="199"/>
    </row>
    <row r="114" spans="1:2" ht="12.75">
      <c r="A114" s="199"/>
      <c r="B114" s="199"/>
    </row>
    <row r="115" spans="1:2" ht="12.75">
      <c r="A115" s="199"/>
      <c r="B115" s="199"/>
    </row>
    <row r="116" spans="1:2" ht="12.75">
      <c r="A116" s="199"/>
      <c r="B116" s="199"/>
    </row>
    <row r="117" spans="1:2" ht="12.75">
      <c r="A117" s="199"/>
      <c r="B117" s="199"/>
    </row>
    <row r="118" spans="1:2" ht="12.75">
      <c r="A118" s="199"/>
      <c r="B118" s="199"/>
    </row>
    <row r="119" spans="1:2" ht="12.75">
      <c r="A119" s="199"/>
      <c r="B119" s="199"/>
    </row>
    <row r="120" spans="1:2" ht="12.75">
      <c r="A120" s="199"/>
      <c r="B120" s="199"/>
    </row>
    <row r="121" spans="1:2" ht="12.75">
      <c r="A121" s="199"/>
      <c r="B121" s="199"/>
    </row>
    <row r="122" spans="1:2" ht="12.75">
      <c r="A122" s="199"/>
      <c r="B122" s="199"/>
    </row>
    <row r="123" spans="1:2" ht="12.75">
      <c r="A123" s="199"/>
      <c r="B123" s="199"/>
    </row>
    <row r="124" spans="1:2" ht="12.75">
      <c r="A124" s="199"/>
      <c r="B124" s="199"/>
    </row>
    <row r="125" spans="1:2" ht="12.75">
      <c r="A125" s="199"/>
      <c r="B125" s="199"/>
    </row>
    <row r="126" spans="1:2" ht="12.75">
      <c r="A126" s="199"/>
      <c r="B126" s="199"/>
    </row>
    <row r="127" spans="1:2" ht="12.75">
      <c r="A127" s="199"/>
      <c r="B127" s="199"/>
    </row>
    <row r="128" spans="1:2" ht="12.75">
      <c r="A128" s="199"/>
      <c r="B128" s="199"/>
    </row>
    <row r="129" spans="1:2" ht="12.75">
      <c r="A129" s="199"/>
      <c r="B129" s="199"/>
    </row>
    <row r="130" spans="1:2" ht="12.75">
      <c r="A130" s="199"/>
      <c r="B130" s="199"/>
    </row>
    <row r="131" spans="1:2" ht="12.75">
      <c r="A131" s="199"/>
      <c r="B131" s="199"/>
    </row>
    <row r="132" spans="1:2" ht="12.75">
      <c r="A132" s="199"/>
      <c r="B132" s="199"/>
    </row>
    <row r="133" spans="1:2" ht="12.75">
      <c r="A133" s="199"/>
      <c r="B133" s="199"/>
    </row>
  </sheetData>
  <sheetProtection/>
  <mergeCells count="5">
    <mergeCell ref="A1:C1"/>
    <mergeCell ref="D1:E1"/>
    <mergeCell ref="A2:E2"/>
    <mergeCell ref="A5:A6"/>
    <mergeCell ref="A7:B7"/>
  </mergeCells>
  <printOptions horizont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SheetLayoutView="100" zoomScalePageLayoutView="0" workbookViewId="0" topLeftCell="A1">
      <selection activeCell="G1" sqref="G1:H1"/>
    </sheetView>
  </sheetViews>
  <sheetFormatPr defaultColWidth="9.140625" defaultRowHeight="15"/>
  <cols>
    <col min="1" max="1" width="6.57421875" style="58" customWidth="1"/>
    <col min="2" max="2" width="10.00390625" style="58" customWidth="1"/>
    <col min="3" max="3" width="20.57421875" style="58" bestFit="1" customWidth="1"/>
    <col min="4" max="4" width="11.8515625" style="58" customWidth="1"/>
    <col min="5" max="5" width="12.28125" style="58" customWidth="1"/>
    <col min="6" max="6" width="16.00390625" style="58" customWidth="1"/>
    <col min="7" max="7" width="16.57421875" style="58" customWidth="1"/>
    <col min="8" max="8" width="38.28125" style="58" customWidth="1"/>
    <col min="9" max="16384" width="9.140625" style="58" customWidth="1"/>
  </cols>
  <sheetData>
    <row r="1" spans="1:8" ht="77.25" customHeight="1">
      <c r="A1" s="172"/>
      <c r="B1" s="172"/>
      <c r="C1" s="129"/>
      <c r="D1" s="211"/>
      <c r="E1" s="211"/>
      <c r="F1" s="211"/>
      <c r="G1" s="379" t="s">
        <v>513</v>
      </c>
      <c r="H1" s="379"/>
    </row>
    <row r="2" spans="1:8" ht="63.75" customHeight="1">
      <c r="A2" s="414" t="s">
        <v>391</v>
      </c>
      <c r="B2" s="414"/>
      <c r="C2" s="414"/>
      <c r="D2" s="414"/>
      <c r="E2" s="414"/>
      <c r="F2" s="414"/>
      <c r="G2" s="414"/>
      <c r="H2" s="414"/>
    </row>
    <row r="3" spans="1:8" ht="17.25" customHeight="1">
      <c r="A3" s="212"/>
      <c r="B3" s="212"/>
      <c r="C3" s="212"/>
      <c r="D3" s="212"/>
      <c r="E3" s="212"/>
      <c r="F3" s="212"/>
      <c r="G3" s="212"/>
      <c r="H3" s="213" t="s">
        <v>59</v>
      </c>
    </row>
    <row r="4" spans="1:8" ht="15.75" customHeight="1">
      <c r="A4" s="415" t="s">
        <v>60</v>
      </c>
      <c r="B4" s="415" t="s">
        <v>176</v>
      </c>
      <c r="C4" s="415" t="s">
        <v>392</v>
      </c>
      <c r="D4" s="416" t="s">
        <v>278</v>
      </c>
      <c r="E4" s="411" t="s">
        <v>393</v>
      </c>
      <c r="F4" s="411"/>
      <c r="G4" s="416" t="s">
        <v>394</v>
      </c>
      <c r="H4" s="415" t="s">
        <v>395</v>
      </c>
    </row>
    <row r="5" spans="1:8" ht="15.75" customHeight="1">
      <c r="A5" s="415"/>
      <c r="B5" s="415"/>
      <c r="C5" s="415"/>
      <c r="D5" s="416"/>
      <c r="E5" s="411" t="s">
        <v>174</v>
      </c>
      <c r="F5" s="411" t="s">
        <v>396</v>
      </c>
      <c r="G5" s="416"/>
      <c r="H5" s="415"/>
    </row>
    <row r="6" spans="1:8" ht="12.75">
      <c r="A6" s="415"/>
      <c r="B6" s="415"/>
      <c r="C6" s="415"/>
      <c r="D6" s="416"/>
      <c r="E6" s="411"/>
      <c r="F6" s="411"/>
      <c r="G6" s="416"/>
      <c r="H6" s="415"/>
    </row>
    <row r="7" spans="1:8" ht="30.75" customHeight="1">
      <c r="A7" s="412" t="s">
        <v>255</v>
      </c>
      <c r="B7" s="413" t="s">
        <v>397</v>
      </c>
      <c r="C7" s="413"/>
      <c r="D7" s="216">
        <f>SUM(D8)</f>
        <v>400000</v>
      </c>
      <c r="E7" s="217">
        <f>SUM(E8)</f>
        <v>400000</v>
      </c>
      <c r="F7" s="217">
        <f>SUM(F8)</f>
        <v>0</v>
      </c>
      <c r="G7" s="217"/>
      <c r="H7" s="218"/>
    </row>
    <row r="8" spans="1:8" ht="64.5" customHeight="1">
      <c r="A8" s="412"/>
      <c r="B8" s="219" t="s">
        <v>256</v>
      </c>
      <c r="C8" s="220" t="s">
        <v>398</v>
      </c>
      <c r="D8" s="216">
        <f>SUM(E8:F8)</f>
        <v>400000</v>
      </c>
      <c r="E8" s="221">
        <v>400000</v>
      </c>
      <c r="F8" s="221">
        <v>0</v>
      </c>
      <c r="G8" s="222" t="s">
        <v>399</v>
      </c>
      <c r="H8" s="162" t="s">
        <v>400</v>
      </c>
    </row>
    <row r="9" spans="1:8" ht="30" customHeight="1">
      <c r="A9" s="412" t="s">
        <v>257</v>
      </c>
      <c r="B9" s="413" t="s">
        <v>401</v>
      </c>
      <c r="C9" s="413"/>
      <c r="D9" s="216">
        <f>SUM(D10)</f>
        <v>2000000</v>
      </c>
      <c r="E9" s="217">
        <f>SUM(E10)</f>
        <v>0</v>
      </c>
      <c r="F9" s="217">
        <f>SUM(F10)</f>
        <v>2000000</v>
      </c>
      <c r="G9" s="217"/>
      <c r="H9" s="218"/>
    </row>
    <row r="10" spans="1:8" ht="60" customHeight="1">
      <c r="A10" s="412"/>
      <c r="B10" s="219" t="s">
        <v>258</v>
      </c>
      <c r="C10" s="220" t="s">
        <v>402</v>
      </c>
      <c r="D10" s="216">
        <f>SUM(E10:F10)</f>
        <v>2000000</v>
      </c>
      <c r="E10" s="221">
        <v>0</v>
      </c>
      <c r="F10" s="221">
        <v>2000000</v>
      </c>
      <c r="G10" s="222" t="s">
        <v>403</v>
      </c>
      <c r="H10" s="162" t="s">
        <v>404</v>
      </c>
    </row>
    <row r="11" spans="1:8" ht="30" customHeight="1">
      <c r="A11" s="412" t="s">
        <v>275</v>
      </c>
      <c r="B11" s="413" t="s">
        <v>405</v>
      </c>
      <c r="C11" s="413"/>
      <c r="D11" s="216">
        <f>SUM(D12)</f>
        <v>6660000</v>
      </c>
      <c r="E11" s="217">
        <f>SUM(E12)</f>
        <v>0</v>
      </c>
      <c r="F11" s="217">
        <f>SUM(F12)</f>
        <v>6660000</v>
      </c>
      <c r="G11" s="217"/>
      <c r="H11" s="218"/>
    </row>
    <row r="12" spans="1:8" ht="67.5" customHeight="1">
      <c r="A12" s="412"/>
      <c r="B12" s="219" t="s">
        <v>276</v>
      </c>
      <c r="C12" s="220" t="s">
        <v>406</v>
      </c>
      <c r="D12" s="216">
        <f>SUM(E12:F12)</f>
        <v>6660000</v>
      </c>
      <c r="E12" s="221">
        <v>0</v>
      </c>
      <c r="F12" s="221">
        <v>6660000</v>
      </c>
      <c r="G12" s="222" t="s">
        <v>407</v>
      </c>
      <c r="H12" s="162" t="s">
        <v>408</v>
      </c>
    </row>
    <row r="13" spans="1:8" ht="26.25" customHeight="1">
      <c r="A13" s="400" t="s">
        <v>409</v>
      </c>
      <c r="B13" s="400"/>
      <c r="C13" s="400"/>
      <c r="D13" s="190">
        <f>SUM(D11)+D9+D7</f>
        <v>9060000</v>
      </c>
      <c r="E13" s="190">
        <f>SUM(E11)+E9+E7</f>
        <v>400000</v>
      </c>
      <c r="F13" s="190">
        <f>SUM(F11)+F9+F7</f>
        <v>8660000</v>
      </c>
      <c r="G13" s="223"/>
      <c r="H13" s="224"/>
    </row>
    <row r="14" spans="7:8" ht="12.75">
      <c r="G14" s="225"/>
      <c r="H14" s="225"/>
    </row>
    <row r="15" spans="7:8" ht="12.75">
      <c r="G15" s="225"/>
      <c r="H15" s="225"/>
    </row>
    <row r="16" spans="7:8" ht="12.75">
      <c r="G16" s="225"/>
      <c r="H16" s="225"/>
    </row>
  </sheetData>
  <sheetProtection/>
  <mergeCells count="18">
    <mergeCell ref="G1:H1"/>
    <mergeCell ref="A2:H2"/>
    <mergeCell ref="A4:A6"/>
    <mergeCell ref="B4:B6"/>
    <mergeCell ref="C4:C6"/>
    <mergeCell ref="D4:D6"/>
    <mergeCell ref="E4:F4"/>
    <mergeCell ref="G4:G6"/>
    <mergeCell ref="H4:H6"/>
    <mergeCell ref="E5:E6"/>
    <mergeCell ref="A13:C13"/>
    <mergeCell ref="F5:F6"/>
    <mergeCell ref="A7:A8"/>
    <mergeCell ref="B7:C7"/>
    <mergeCell ref="A9:A10"/>
    <mergeCell ref="B9:C9"/>
    <mergeCell ref="A11:A12"/>
    <mergeCell ref="B11:C11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6.140625" style="58" customWidth="1"/>
    <col min="2" max="2" width="10.140625" style="58" customWidth="1"/>
    <col min="3" max="3" width="22.28125" style="58" bestFit="1" customWidth="1"/>
    <col min="4" max="4" width="12.421875" style="58" customWidth="1"/>
    <col min="5" max="5" width="13.140625" style="58" customWidth="1"/>
    <col min="6" max="6" width="16.140625" style="58" customWidth="1"/>
    <col min="7" max="7" width="15.8515625" style="58" customWidth="1"/>
    <col min="8" max="8" width="47.140625" style="58" customWidth="1"/>
    <col min="9" max="16384" width="9.140625" style="58" customWidth="1"/>
  </cols>
  <sheetData>
    <row r="1" spans="1:8" ht="77.25" customHeight="1">
      <c r="A1" s="172"/>
      <c r="B1" s="172"/>
      <c r="C1" s="129"/>
      <c r="D1" s="211"/>
      <c r="E1" s="211"/>
      <c r="F1" s="211"/>
      <c r="G1" s="379" t="s">
        <v>514</v>
      </c>
      <c r="H1" s="379"/>
    </row>
    <row r="2" spans="1:8" ht="63.75" customHeight="1">
      <c r="A2" s="414" t="s">
        <v>410</v>
      </c>
      <c r="B2" s="414"/>
      <c r="C2" s="414"/>
      <c r="D2" s="414"/>
      <c r="E2" s="414"/>
      <c r="F2" s="414"/>
      <c r="G2" s="414"/>
      <c r="H2" s="414"/>
    </row>
    <row r="3" spans="1:8" ht="17.25" customHeight="1">
      <c r="A3" s="212"/>
      <c r="B3" s="212"/>
      <c r="C3" s="212"/>
      <c r="D3" s="212"/>
      <c r="E3" s="212"/>
      <c r="F3" s="212"/>
      <c r="G3" s="212"/>
      <c r="H3" s="213" t="s">
        <v>59</v>
      </c>
    </row>
    <row r="4" spans="1:8" ht="15.75" customHeight="1">
      <c r="A4" s="415" t="s">
        <v>60</v>
      </c>
      <c r="B4" s="415" t="s">
        <v>176</v>
      </c>
      <c r="C4" s="415" t="s">
        <v>392</v>
      </c>
      <c r="D4" s="416" t="s">
        <v>278</v>
      </c>
      <c r="E4" s="411" t="s">
        <v>393</v>
      </c>
      <c r="F4" s="411"/>
      <c r="G4" s="416" t="s">
        <v>394</v>
      </c>
      <c r="H4" s="415" t="s">
        <v>395</v>
      </c>
    </row>
    <row r="5" spans="1:8" ht="15.75" customHeight="1">
      <c r="A5" s="415"/>
      <c r="B5" s="415"/>
      <c r="C5" s="415"/>
      <c r="D5" s="416"/>
      <c r="E5" s="411" t="s">
        <v>174</v>
      </c>
      <c r="F5" s="411" t="s">
        <v>396</v>
      </c>
      <c r="G5" s="416"/>
      <c r="H5" s="415"/>
    </row>
    <row r="6" spans="1:8" ht="12.75">
      <c r="A6" s="415"/>
      <c r="B6" s="415"/>
      <c r="C6" s="415"/>
      <c r="D6" s="416"/>
      <c r="E6" s="411"/>
      <c r="F6" s="411"/>
      <c r="G6" s="416"/>
      <c r="H6" s="415"/>
    </row>
    <row r="7" spans="1:8" ht="30.75" customHeight="1">
      <c r="A7" s="412" t="s">
        <v>220</v>
      </c>
      <c r="B7" s="413" t="s">
        <v>107</v>
      </c>
      <c r="C7" s="413"/>
      <c r="D7" s="216">
        <f>SUM(D8)</f>
        <v>300000</v>
      </c>
      <c r="E7" s="217">
        <f>SUM(E8)</f>
        <v>300000</v>
      </c>
      <c r="F7" s="217">
        <f>SUM(F8)</f>
        <v>0</v>
      </c>
      <c r="G7" s="217"/>
      <c r="H7" s="218"/>
    </row>
    <row r="8" spans="1:8" ht="79.5" customHeight="1">
      <c r="A8" s="412"/>
      <c r="B8" s="219" t="s">
        <v>232</v>
      </c>
      <c r="C8" s="220" t="s">
        <v>120</v>
      </c>
      <c r="D8" s="216">
        <f>SUM(E8:F8)</f>
        <v>300000</v>
      </c>
      <c r="E8" s="221">
        <v>300000</v>
      </c>
      <c r="F8" s="221">
        <v>0</v>
      </c>
      <c r="G8" s="222" t="s">
        <v>411</v>
      </c>
      <c r="H8" s="162" t="s">
        <v>412</v>
      </c>
    </row>
    <row r="9" spans="1:8" ht="30" customHeight="1">
      <c r="A9" s="412" t="s">
        <v>252</v>
      </c>
      <c r="B9" s="413" t="s">
        <v>149</v>
      </c>
      <c r="C9" s="413"/>
      <c r="D9" s="216">
        <f>SUM(D10)</f>
        <v>50620</v>
      </c>
      <c r="E9" s="217">
        <f>SUM(E10)</f>
        <v>0</v>
      </c>
      <c r="F9" s="217">
        <f>SUM(F10)</f>
        <v>50620</v>
      </c>
      <c r="G9" s="217"/>
      <c r="H9" s="218"/>
    </row>
    <row r="10" spans="1:8" ht="94.5" customHeight="1">
      <c r="A10" s="412"/>
      <c r="B10" s="219" t="s">
        <v>413</v>
      </c>
      <c r="C10" s="220" t="s">
        <v>414</v>
      </c>
      <c r="D10" s="216">
        <f>SUM(E10:F10)</f>
        <v>50620</v>
      </c>
      <c r="E10" s="221">
        <v>0</v>
      </c>
      <c r="F10" s="221">
        <v>50620</v>
      </c>
      <c r="G10" s="222" t="s">
        <v>415</v>
      </c>
      <c r="H10" s="226" t="s">
        <v>416</v>
      </c>
    </row>
    <row r="11" spans="1:8" ht="26.25" customHeight="1">
      <c r="A11" s="400" t="s">
        <v>409</v>
      </c>
      <c r="B11" s="400"/>
      <c r="C11" s="400"/>
      <c r="D11" s="190">
        <f>SUM(D7,D9)</f>
        <v>350620</v>
      </c>
      <c r="E11" s="190">
        <f>SUM(E7,E9)</f>
        <v>300000</v>
      </c>
      <c r="F11" s="190">
        <f>SUM(F7,F9)</f>
        <v>50620</v>
      </c>
      <c r="G11" s="223"/>
      <c r="H11" s="224"/>
    </row>
    <row r="12" spans="7:8" ht="12.75">
      <c r="G12" s="225"/>
      <c r="H12" s="225"/>
    </row>
    <row r="13" spans="7:8" ht="12.75">
      <c r="G13" s="225"/>
      <c r="H13" s="225"/>
    </row>
    <row r="14" spans="7:8" ht="12.75">
      <c r="G14" s="225"/>
      <c r="H14" s="225"/>
    </row>
    <row r="78" ht="12.75">
      <c r="O78" s="58">
        <v>766013</v>
      </c>
    </row>
    <row r="82" ht="12.75">
      <c r="O82" s="58">
        <v>567475</v>
      </c>
    </row>
  </sheetData>
  <sheetProtection/>
  <mergeCells count="16">
    <mergeCell ref="A11:C11"/>
    <mergeCell ref="G1:H1"/>
    <mergeCell ref="A2:H2"/>
    <mergeCell ref="A4:A6"/>
    <mergeCell ref="B4:B6"/>
    <mergeCell ref="C4:C6"/>
    <mergeCell ref="D4:D6"/>
    <mergeCell ref="E4:F4"/>
    <mergeCell ref="G4:G6"/>
    <mergeCell ref="H4:H6"/>
    <mergeCell ref="E5:E6"/>
    <mergeCell ref="F5:F6"/>
    <mergeCell ref="A7:A8"/>
    <mergeCell ref="B7:C7"/>
    <mergeCell ref="A9:A10"/>
    <mergeCell ref="B9:C9"/>
  </mergeCells>
  <printOptions horizontalCentered="1"/>
  <pageMargins left="0.43" right="0.34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4"/>
  <sheetViews>
    <sheetView zoomScaleSheetLayoutView="100" zoomScalePageLayoutView="0" workbookViewId="0" topLeftCell="A1">
      <selection activeCell="A2" sqref="A2:J2"/>
    </sheetView>
  </sheetViews>
  <sheetFormatPr defaultColWidth="9.140625" defaultRowHeight="15"/>
  <cols>
    <col min="1" max="1" width="7.57421875" style="227" customWidth="1"/>
    <col min="2" max="2" width="10.8515625" style="227" bestFit="1" customWidth="1"/>
    <col min="3" max="3" width="10.7109375" style="227" customWidth="1"/>
    <col min="4" max="4" width="23.140625" style="227" customWidth="1"/>
    <col min="5" max="5" width="12.57421875" style="227" customWidth="1"/>
    <col min="6" max="6" width="13.28125" style="227" customWidth="1"/>
    <col min="7" max="7" width="12.28125" style="227" customWidth="1"/>
    <col min="8" max="8" width="12.00390625" style="227" customWidth="1"/>
    <col min="9" max="9" width="11.8515625" style="227" customWidth="1"/>
    <col min="10" max="10" width="10.7109375" style="227" customWidth="1"/>
    <col min="11" max="16384" width="9.140625" style="227" customWidth="1"/>
  </cols>
  <sheetData>
    <row r="1" spans="1:10" ht="84" customHeight="1">
      <c r="A1" s="401"/>
      <c r="B1" s="401"/>
      <c r="C1" s="401"/>
      <c r="D1" s="401"/>
      <c r="E1" s="401"/>
      <c r="F1" s="379" t="s">
        <v>515</v>
      </c>
      <c r="G1" s="379"/>
      <c r="H1" s="379"/>
      <c r="I1" s="379"/>
      <c r="J1" s="379"/>
    </row>
    <row r="2" spans="1:10" ht="68.25" customHeight="1">
      <c r="A2" s="402" t="s">
        <v>417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s="229" customFormat="1" ht="33" customHeight="1">
      <c r="A3" s="228"/>
      <c r="B3" s="228"/>
      <c r="C3" s="228"/>
      <c r="D3" s="228"/>
      <c r="J3" s="230" t="s">
        <v>59</v>
      </c>
    </row>
    <row r="4" spans="1:10" s="231" customFormat="1" ht="34.5" customHeight="1">
      <c r="A4" s="416" t="s">
        <v>418</v>
      </c>
      <c r="B4" s="416"/>
      <c r="C4" s="416"/>
      <c r="D4" s="416"/>
      <c r="E4" s="416"/>
      <c r="F4" s="416"/>
      <c r="G4" s="416"/>
      <c r="H4" s="416"/>
      <c r="I4" s="416"/>
      <c r="J4" s="416"/>
    </row>
    <row r="5" spans="1:10" s="231" customFormat="1" ht="30" customHeight="1">
      <c r="A5" s="232" t="s">
        <v>60</v>
      </c>
      <c r="B5" s="232" t="s">
        <v>419</v>
      </c>
      <c r="C5" s="232" t="s">
        <v>420</v>
      </c>
      <c r="D5" s="415" t="s">
        <v>392</v>
      </c>
      <c r="E5" s="415"/>
      <c r="F5" s="415"/>
      <c r="G5" s="415"/>
      <c r="H5" s="415"/>
      <c r="I5" s="415" t="s">
        <v>421</v>
      </c>
      <c r="J5" s="415"/>
    </row>
    <row r="6" spans="1:10" s="231" customFormat="1" ht="30" customHeight="1">
      <c r="A6" s="233" t="s">
        <v>262</v>
      </c>
      <c r="B6" s="424" t="s">
        <v>166</v>
      </c>
      <c r="C6" s="424"/>
      <c r="D6" s="424"/>
      <c r="E6" s="424"/>
      <c r="F6" s="424"/>
      <c r="G6" s="424"/>
      <c r="H6" s="424"/>
      <c r="I6" s="425">
        <f>SUM(I7)</f>
        <v>2776235</v>
      </c>
      <c r="J6" s="426"/>
    </row>
    <row r="7" spans="1:10" s="231" customFormat="1" ht="30" customHeight="1">
      <c r="A7" s="235"/>
      <c r="B7" s="236" t="s">
        <v>269</v>
      </c>
      <c r="C7" s="427" t="s">
        <v>422</v>
      </c>
      <c r="D7" s="427"/>
      <c r="E7" s="427"/>
      <c r="F7" s="427"/>
      <c r="G7" s="427"/>
      <c r="H7" s="427"/>
      <c r="I7" s="428">
        <f>SUM(I8:J9)</f>
        <v>2776235</v>
      </c>
      <c r="J7" s="429"/>
    </row>
    <row r="8" spans="1:10" s="231" customFormat="1" ht="30" customHeight="1">
      <c r="A8" s="237"/>
      <c r="B8" s="238"/>
      <c r="C8" s="133">
        <v>2310</v>
      </c>
      <c r="D8" s="417"/>
      <c r="E8" s="417"/>
      <c r="F8" s="417"/>
      <c r="G8" s="417"/>
      <c r="H8" s="417"/>
      <c r="I8" s="430">
        <v>2716235</v>
      </c>
      <c r="J8" s="431"/>
    </row>
    <row r="9" spans="1:10" s="231" customFormat="1" ht="30" customHeight="1">
      <c r="A9" s="237"/>
      <c r="B9" s="238"/>
      <c r="C9" s="133">
        <v>2320</v>
      </c>
      <c r="D9" s="417"/>
      <c r="E9" s="417"/>
      <c r="F9" s="417"/>
      <c r="G9" s="417"/>
      <c r="H9" s="417"/>
      <c r="I9" s="418">
        <v>60000</v>
      </c>
      <c r="J9" s="418"/>
    </row>
    <row r="10" spans="1:10" s="231" customFormat="1" ht="30" customHeight="1">
      <c r="A10" s="400" t="s">
        <v>173</v>
      </c>
      <c r="B10" s="400"/>
      <c r="C10" s="400"/>
      <c r="D10" s="400"/>
      <c r="E10" s="400"/>
      <c r="F10" s="400"/>
      <c r="G10" s="400"/>
      <c r="H10" s="400"/>
      <c r="I10" s="419">
        <f>SUM(I7)</f>
        <v>2776235</v>
      </c>
      <c r="J10" s="419"/>
    </row>
    <row r="11" spans="1:6" s="231" customFormat="1" ht="81" customHeight="1">
      <c r="A11" s="241"/>
      <c r="B11" s="241"/>
      <c r="C11" s="242"/>
      <c r="D11" s="243"/>
      <c r="E11" s="244"/>
      <c r="F11" s="245"/>
    </row>
    <row r="12" spans="1:10" s="231" customFormat="1" ht="15.75">
      <c r="A12" s="246"/>
      <c r="B12" s="246"/>
      <c r="C12" s="247"/>
      <c r="D12" s="248"/>
      <c r="E12" s="248"/>
      <c r="F12" s="248"/>
      <c r="G12" s="248"/>
      <c r="H12" s="248"/>
      <c r="I12" s="247"/>
      <c r="J12" s="249" t="s">
        <v>59</v>
      </c>
    </row>
    <row r="13" spans="1:10" s="231" customFormat="1" ht="41.25" customHeight="1">
      <c r="A13" s="416" t="s">
        <v>423</v>
      </c>
      <c r="B13" s="416"/>
      <c r="C13" s="416"/>
      <c r="D13" s="416"/>
      <c r="E13" s="416"/>
      <c r="F13" s="416"/>
      <c r="G13" s="416"/>
      <c r="H13" s="416"/>
      <c r="I13" s="416"/>
      <c r="J13" s="416"/>
    </row>
    <row r="14" spans="1:10" s="231" customFormat="1" ht="15" customHeight="1">
      <c r="A14" s="415" t="s">
        <v>60</v>
      </c>
      <c r="B14" s="415" t="s">
        <v>176</v>
      </c>
      <c r="C14" s="415" t="s">
        <v>392</v>
      </c>
      <c r="D14" s="415"/>
      <c r="E14" s="416" t="s">
        <v>424</v>
      </c>
      <c r="F14" s="411" t="s">
        <v>425</v>
      </c>
      <c r="G14" s="420" t="s">
        <v>180</v>
      </c>
      <c r="H14" s="420"/>
      <c r="I14" s="420"/>
      <c r="J14" s="411" t="s">
        <v>426</v>
      </c>
    </row>
    <row r="15" spans="1:10" s="231" customFormat="1" ht="60">
      <c r="A15" s="415"/>
      <c r="B15" s="415"/>
      <c r="C15" s="415"/>
      <c r="D15" s="415"/>
      <c r="E15" s="415"/>
      <c r="F15" s="420"/>
      <c r="G15" s="182" t="s">
        <v>427</v>
      </c>
      <c r="H15" s="182" t="s">
        <v>428</v>
      </c>
      <c r="I15" s="182" t="s">
        <v>429</v>
      </c>
      <c r="J15" s="411"/>
    </row>
    <row r="16" spans="1:10" s="231" customFormat="1" ht="30" customHeight="1">
      <c r="A16" s="421" t="s">
        <v>262</v>
      </c>
      <c r="B16" s="422" t="s">
        <v>430</v>
      </c>
      <c r="C16" s="422"/>
      <c r="D16" s="422"/>
      <c r="E16" s="217">
        <f aca="true" t="shared" si="0" ref="E16:J16">SUM(E17:E17)</f>
        <v>2776235</v>
      </c>
      <c r="F16" s="217">
        <f t="shared" si="0"/>
        <v>2776235</v>
      </c>
      <c r="G16" s="217">
        <f t="shared" si="0"/>
        <v>0</v>
      </c>
      <c r="H16" s="217">
        <f t="shared" si="0"/>
        <v>2776235</v>
      </c>
      <c r="I16" s="217">
        <f t="shared" si="0"/>
        <v>0</v>
      </c>
      <c r="J16" s="217">
        <f t="shared" si="0"/>
        <v>0</v>
      </c>
    </row>
    <row r="17" spans="1:10" s="231" customFormat="1" ht="30" customHeight="1">
      <c r="A17" s="421"/>
      <c r="B17" s="251" t="s">
        <v>269</v>
      </c>
      <c r="C17" s="423" t="s">
        <v>422</v>
      </c>
      <c r="D17" s="423"/>
      <c r="E17" s="161">
        <f>SUM(F17,J17)</f>
        <v>2776235</v>
      </c>
      <c r="F17" s="161">
        <f>SUM(G17:I17)</f>
        <v>2776235</v>
      </c>
      <c r="G17" s="161"/>
      <c r="H17" s="161">
        <v>2776235</v>
      </c>
      <c r="I17" s="161"/>
      <c r="J17" s="161">
        <v>0</v>
      </c>
    </row>
    <row r="18" spans="1:10" s="231" customFormat="1" ht="30" customHeight="1">
      <c r="A18" s="407" t="s">
        <v>409</v>
      </c>
      <c r="B18" s="407"/>
      <c r="C18" s="407"/>
      <c r="D18" s="407"/>
      <c r="E18" s="216">
        <f aca="true" t="shared" si="1" ref="E18:J18">E16</f>
        <v>2776235</v>
      </c>
      <c r="F18" s="216">
        <f t="shared" si="1"/>
        <v>2776235</v>
      </c>
      <c r="G18" s="216">
        <f t="shared" si="1"/>
        <v>0</v>
      </c>
      <c r="H18" s="216">
        <f t="shared" si="1"/>
        <v>2776235</v>
      </c>
      <c r="I18" s="216">
        <f t="shared" si="1"/>
        <v>0</v>
      </c>
      <c r="J18" s="216">
        <f t="shared" si="1"/>
        <v>0</v>
      </c>
    </row>
    <row r="19" spans="1:6" ht="12.75">
      <c r="A19" s="229"/>
      <c r="B19" s="229"/>
      <c r="C19" s="192"/>
      <c r="D19" s="229"/>
      <c r="E19" s="229"/>
      <c r="F19" s="193"/>
    </row>
    <row r="20" spans="1:6" ht="12.75">
      <c r="A20" s="229"/>
      <c r="B20" s="229"/>
      <c r="C20" s="192"/>
      <c r="D20" s="229"/>
      <c r="E20" s="229"/>
      <c r="F20" s="193"/>
    </row>
    <row r="21" spans="1:6" ht="12.75">
      <c r="A21" s="229"/>
      <c r="B21" s="229"/>
      <c r="C21" s="192"/>
      <c r="D21" s="229"/>
      <c r="E21" s="229"/>
      <c r="F21" s="193"/>
    </row>
    <row r="22" spans="1:6" ht="12.75">
      <c r="A22" s="229"/>
      <c r="B22" s="229"/>
      <c r="C22" s="192"/>
      <c r="D22" s="229"/>
      <c r="E22" s="229"/>
      <c r="F22" s="193"/>
    </row>
    <row r="23" spans="1:6" ht="12.75">
      <c r="A23" s="229"/>
      <c r="B23" s="229"/>
      <c r="C23" s="192"/>
      <c r="D23" s="229"/>
      <c r="E23" s="229"/>
      <c r="F23" s="193"/>
    </row>
    <row r="24" spans="1:6" ht="12.75">
      <c r="A24" s="229"/>
      <c r="B24" s="229"/>
      <c r="C24" s="192"/>
      <c r="D24" s="229"/>
      <c r="E24" s="229"/>
      <c r="F24" s="193"/>
    </row>
    <row r="25" spans="1:6" ht="12.75">
      <c r="A25" s="229"/>
      <c r="B25" s="229"/>
      <c r="C25" s="192"/>
      <c r="D25" s="229"/>
      <c r="E25" s="229"/>
      <c r="F25" s="193"/>
    </row>
    <row r="26" spans="1:6" ht="12.75">
      <c r="A26" s="229"/>
      <c r="B26" s="229"/>
      <c r="C26" s="192"/>
      <c r="D26" s="229"/>
      <c r="E26" s="229"/>
      <c r="F26" s="193"/>
    </row>
    <row r="27" spans="1:6" ht="12.75">
      <c r="A27" s="229"/>
      <c r="B27" s="229"/>
      <c r="C27" s="192"/>
      <c r="D27" s="229"/>
      <c r="E27" s="229"/>
      <c r="F27" s="193"/>
    </row>
    <row r="28" spans="1:6" ht="12.75">
      <c r="A28" s="229"/>
      <c r="B28" s="229"/>
      <c r="C28" s="192"/>
      <c r="D28" s="229"/>
      <c r="E28" s="229"/>
      <c r="F28" s="193"/>
    </row>
    <row r="29" spans="1:6" ht="12.75">
      <c r="A29" s="229"/>
      <c r="B29" s="229"/>
      <c r="C29" s="192"/>
      <c r="D29" s="229"/>
      <c r="E29" s="229"/>
      <c r="F29" s="193"/>
    </row>
    <row r="30" spans="3:6" ht="12.75">
      <c r="C30" s="192"/>
      <c r="D30" s="229"/>
      <c r="E30" s="229"/>
      <c r="F30" s="193"/>
    </row>
    <row r="31" spans="3:6" ht="12.75">
      <c r="C31" s="192"/>
      <c r="D31" s="229"/>
      <c r="E31" s="229"/>
      <c r="F31" s="193"/>
    </row>
    <row r="32" spans="3:6" ht="12.75">
      <c r="C32" s="252"/>
      <c r="E32" s="229"/>
      <c r="F32" s="193"/>
    </row>
    <row r="33" spans="3:6" ht="12.75">
      <c r="C33" s="252"/>
      <c r="E33" s="229"/>
      <c r="F33" s="193"/>
    </row>
    <row r="34" spans="3:6" ht="12.75">
      <c r="C34" s="252"/>
      <c r="E34" s="229"/>
      <c r="F34" s="193"/>
    </row>
    <row r="35" spans="3:6" ht="12.75">
      <c r="C35" s="252"/>
      <c r="E35" s="229"/>
      <c r="F35" s="193"/>
    </row>
    <row r="36" spans="3:6" ht="12.75">
      <c r="C36" s="252"/>
      <c r="E36" s="229"/>
      <c r="F36" s="193"/>
    </row>
    <row r="37" spans="3:6" ht="12.75">
      <c r="C37" s="252"/>
      <c r="F37" s="253"/>
    </row>
    <row r="38" spans="3:6" ht="12.75">
      <c r="C38" s="252"/>
      <c r="F38" s="253"/>
    </row>
    <row r="39" spans="3:6" ht="12.75">
      <c r="C39" s="252"/>
      <c r="F39" s="253"/>
    </row>
    <row r="40" spans="3:6" ht="12.75">
      <c r="C40" s="252"/>
      <c r="F40" s="253"/>
    </row>
    <row r="41" spans="3:6" ht="12.75">
      <c r="C41" s="252"/>
      <c r="F41" s="253"/>
    </row>
    <row r="42" spans="3:6" ht="12.75">
      <c r="C42" s="252"/>
      <c r="F42" s="253"/>
    </row>
    <row r="43" spans="3:6" ht="12.75">
      <c r="C43" s="252"/>
      <c r="F43" s="253"/>
    </row>
    <row r="44" spans="3:6" ht="12.75">
      <c r="C44" s="252"/>
      <c r="F44" s="253"/>
    </row>
    <row r="45" spans="3:6" ht="12.75">
      <c r="C45" s="252"/>
      <c r="F45" s="253"/>
    </row>
    <row r="46" spans="3:6" ht="12.75">
      <c r="C46" s="252"/>
      <c r="E46" s="254"/>
      <c r="F46" s="253"/>
    </row>
    <row r="47" spans="3:6" ht="12.75">
      <c r="C47" s="252"/>
      <c r="F47" s="253"/>
    </row>
    <row r="48" ht="12.75">
      <c r="F48" s="253"/>
    </row>
    <row r="49" ht="12.75">
      <c r="F49" s="253"/>
    </row>
    <row r="50" ht="12.75">
      <c r="F50" s="253"/>
    </row>
    <row r="51" ht="12.75">
      <c r="F51" s="253"/>
    </row>
    <row r="52" ht="12.75">
      <c r="F52" s="253"/>
    </row>
    <row r="53" ht="12.75">
      <c r="F53" s="253"/>
    </row>
    <row r="54" ht="12.75">
      <c r="F54" s="253"/>
    </row>
  </sheetData>
  <sheetProtection/>
  <mergeCells count="28">
    <mergeCell ref="A1:E1"/>
    <mergeCell ref="F1:J1"/>
    <mergeCell ref="A2:J2"/>
    <mergeCell ref="A4:J4"/>
    <mergeCell ref="D5:H5"/>
    <mergeCell ref="I5:J5"/>
    <mergeCell ref="B6:H6"/>
    <mergeCell ref="I6:J6"/>
    <mergeCell ref="C7:H7"/>
    <mergeCell ref="I7:J7"/>
    <mergeCell ref="D8:H8"/>
    <mergeCell ref="I8:J8"/>
    <mergeCell ref="A18:D18"/>
    <mergeCell ref="D9:H9"/>
    <mergeCell ref="I9:J9"/>
    <mergeCell ref="A10:H10"/>
    <mergeCell ref="I10:J10"/>
    <mergeCell ref="A13:J13"/>
    <mergeCell ref="A14:A15"/>
    <mergeCell ref="B14:B15"/>
    <mergeCell ref="C14:D15"/>
    <mergeCell ref="E14:E15"/>
    <mergeCell ref="F14:F15"/>
    <mergeCell ref="G14:I14"/>
    <mergeCell ref="J14:J15"/>
    <mergeCell ref="A16:A17"/>
    <mergeCell ref="B16:D16"/>
    <mergeCell ref="C17:D1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2010-01-04T12:53:49Z</dcterms:modified>
  <cp:category/>
  <cp:version/>
  <cp:contentType/>
  <cp:contentStatus/>
</cp:coreProperties>
</file>