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11535" tabRatio="833" activeTab="6"/>
  </bookViews>
  <sheets>
    <sheet name="dochody" sheetId="3" r:id="rId1"/>
    <sheet name="wydatki" sheetId="4" r:id="rId2"/>
    <sheet name="dochody adm. rządowa" sheetId="10" r:id="rId3"/>
    <sheet name="wydatki adm rządowa" sheetId="11" r:id="rId4"/>
    <sheet name="doch. i wyd. szczeg. zasady " sheetId="12" r:id="rId5"/>
    <sheet name="dochody na wyod. rach." sheetId="8" r:id="rId6"/>
    <sheet name="przych i rozch." sheetId="9" r:id="rId7"/>
    <sheet name="Arkusz1" sheetId="7" state="hidden" r:id="rId8"/>
  </sheets>
  <definedNames>
    <definedName name="_xlnm.Print_Area" localSheetId="0">dochody!$A$1:$J$343</definedName>
    <definedName name="_xlnm.Print_Area" localSheetId="2">'dochody adm. rządowa'!$A$1:$F$27</definedName>
    <definedName name="_xlnm.Print_Area" localSheetId="5">'dochody na wyod. rach.'!$A$1:$H$31</definedName>
    <definedName name="_xlnm.Print_Area" localSheetId="6">'przych i rozch.'!$A$1:$D$22</definedName>
    <definedName name="_xlnm.Print_Area" localSheetId="1">wydatki!$A$1:$S$145</definedName>
    <definedName name="_xlnm.Print_Area" localSheetId="3">'wydatki adm rządowa'!$A$1:$M$28</definedName>
    <definedName name="_xlnm.Print_Titles" localSheetId="0">dochody!$6:$8</definedName>
    <definedName name="_xlnm.Print_Titles" localSheetId="5">'dochody na wyod. rach.'!$3:$5</definedName>
    <definedName name="_xlnm.Print_Titles" localSheetId="1">wydatki!$3:$6</definedName>
  </definedNames>
  <calcPr calcId="125725" calcMode="manual"/>
</workbook>
</file>

<file path=xl/calcChain.xml><?xml version="1.0" encoding="utf-8"?>
<calcChain xmlns="http://schemas.openxmlformats.org/spreadsheetml/2006/main">
  <c r="K330" i="8"/>
  <c r="H32" i="3"/>
  <c r="E32"/>
  <c r="D32" s="1"/>
  <c r="P118" i="4"/>
  <c r="E14" i="12"/>
  <c r="F14"/>
  <c r="G14"/>
  <c r="H14"/>
  <c r="G9" i="11"/>
  <c r="F9" s="1"/>
  <c r="F10"/>
  <c r="E10" s="1"/>
  <c r="M10" s="1"/>
  <c r="G10"/>
  <c r="F11"/>
  <c r="E11" s="1"/>
  <c r="M11" s="1"/>
  <c r="G11"/>
  <c r="F12"/>
  <c r="E12" s="1"/>
  <c r="M12" s="1"/>
  <c r="G12"/>
  <c r="L12"/>
  <c r="G13"/>
  <c r="F13" s="1"/>
  <c r="E13" s="1"/>
  <c r="M13" s="1"/>
  <c r="G14"/>
  <c r="F14" s="1"/>
  <c r="E14" s="1"/>
  <c r="M14" s="1"/>
  <c r="G15"/>
  <c r="F15" s="1"/>
  <c r="E15" s="1"/>
  <c r="M15" s="1"/>
  <c r="G16"/>
  <c r="F16" s="1"/>
  <c r="E16" s="1"/>
  <c r="M16" s="1"/>
  <c r="G17"/>
  <c r="F17" s="1"/>
  <c r="E17" s="1"/>
  <c r="M17" s="1"/>
  <c r="G18"/>
  <c r="F18" s="1"/>
  <c r="E18" s="1"/>
  <c r="M18" s="1"/>
  <c r="G19"/>
  <c r="F19" s="1"/>
  <c r="E19" s="1"/>
  <c r="M19" s="1"/>
  <c r="L19"/>
  <c r="F20"/>
  <c r="E20" s="1"/>
  <c r="M20" s="1"/>
  <c r="G20"/>
  <c r="F21"/>
  <c r="E21" s="1"/>
  <c r="M21" s="1"/>
  <c r="G21"/>
  <c r="F22"/>
  <c r="E22" s="1"/>
  <c r="G22"/>
  <c r="G23"/>
  <c r="F23" s="1"/>
  <c r="E23" s="1"/>
  <c r="M23" s="1"/>
  <c r="G24"/>
  <c r="F24" s="1"/>
  <c r="E24" s="1"/>
  <c r="M24" s="1"/>
  <c r="G25"/>
  <c r="F25" s="1"/>
  <c r="E25" s="1"/>
  <c r="M25" s="1"/>
  <c r="G26"/>
  <c r="F26" s="1"/>
  <c r="E26" s="1"/>
  <c r="M26" s="1"/>
  <c r="G27"/>
  <c r="F27" s="1"/>
  <c r="E27" s="1"/>
  <c r="M27" s="1"/>
  <c r="D28"/>
  <c r="H28"/>
  <c r="I28"/>
  <c r="J28"/>
  <c r="K28"/>
  <c r="L28"/>
  <c r="J334"/>
  <c r="F8" i="10"/>
  <c r="F9"/>
  <c r="F10"/>
  <c r="E11"/>
  <c r="F11"/>
  <c r="F12"/>
  <c r="F13"/>
  <c r="F14"/>
  <c r="F15"/>
  <c r="F16"/>
  <c r="F17"/>
  <c r="E18"/>
  <c r="F18"/>
  <c r="F19"/>
  <c r="F20"/>
  <c r="F21"/>
  <c r="F22"/>
  <c r="F23"/>
  <c r="F24"/>
  <c r="F25"/>
  <c r="F26"/>
  <c r="D27"/>
  <c r="E27"/>
  <c r="J333"/>
  <c r="F27" l="1"/>
  <c r="F28" i="11"/>
  <c r="E9"/>
  <c r="G28"/>
  <c r="O35" i="4"/>
  <c r="P35"/>
  <c r="H31"/>
  <c r="H9"/>
  <c r="O9"/>
  <c r="H35"/>
  <c r="H127"/>
  <c r="D9" i="9"/>
  <c r="D10"/>
  <c r="D11"/>
  <c r="B12"/>
  <c r="C12"/>
  <c r="D12"/>
  <c r="D19"/>
  <c r="D20"/>
  <c r="B21"/>
  <c r="C21"/>
  <c r="D21" s="1"/>
  <c r="J326"/>
  <c r="E31" i="8"/>
  <c r="F31"/>
  <c r="G31"/>
  <c r="H31"/>
  <c r="G110" i="4"/>
  <c r="G79"/>
  <c r="I143"/>
  <c r="G143"/>
  <c r="H140"/>
  <c r="G140"/>
  <c r="O138"/>
  <c r="I132"/>
  <c r="M9" i="11" l="1"/>
  <c r="E28"/>
  <c r="M28" s="1"/>
  <c r="H59" i="4"/>
  <c r="O120"/>
  <c r="H120"/>
  <c r="K115"/>
  <c r="H86"/>
  <c r="K29"/>
  <c r="H46"/>
  <c r="G46"/>
  <c r="K19"/>
  <c r="P19"/>
  <c r="O135" l="1"/>
  <c r="E97" i="3"/>
  <c r="F97"/>
  <c r="H97"/>
  <c r="I97"/>
  <c r="G110"/>
  <c r="D110"/>
  <c r="K114" i="4"/>
  <c r="G114"/>
  <c r="G85"/>
  <c r="H85"/>
  <c r="H259" i="3"/>
  <c r="E259"/>
  <c r="F258"/>
  <c r="I258"/>
  <c r="G269"/>
  <c r="D269"/>
  <c r="G268"/>
  <c r="D268"/>
  <c r="G266"/>
  <c r="D266"/>
  <c r="H264"/>
  <c r="H258" s="1"/>
  <c r="E264"/>
  <c r="H271"/>
  <c r="E271"/>
  <c r="E258" l="1"/>
  <c r="J268"/>
  <c r="E131" l="1"/>
  <c r="F131"/>
  <c r="H131"/>
  <c r="I131"/>
  <c r="H118"/>
  <c r="G158"/>
  <c r="D158"/>
  <c r="G152"/>
  <c r="D152"/>
  <c r="E155"/>
  <c r="F155"/>
  <c r="H155"/>
  <c r="I155"/>
  <c r="G160"/>
  <c r="D160"/>
  <c r="G159"/>
  <c r="D159"/>
  <c r="G151"/>
  <c r="D151"/>
  <c r="H141"/>
  <c r="E141"/>
  <c r="E256"/>
  <c r="F256"/>
  <c r="H256"/>
  <c r="I256"/>
  <c r="G257"/>
  <c r="G256" s="1"/>
  <c r="D257"/>
  <c r="D256" s="1"/>
  <c r="H210"/>
  <c r="H209" s="1"/>
  <c r="H205"/>
  <c r="H194"/>
  <c r="E194"/>
  <c r="H207"/>
  <c r="E209"/>
  <c r="F209"/>
  <c r="I209"/>
  <c r="G214"/>
  <c r="D214"/>
  <c r="G213"/>
  <c r="D213"/>
  <c r="G212"/>
  <c r="D212"/>
  <c r="E207"/>
  <c r="J160" l="1"/>
  <c r="J159"/>
  <c r="J151"/>
  <c r="J256"/>
  <c r="J257"/>
  <c r="J212"/>
  <c r="J213"/>
  <c r="J214"/>
  <c r="E339" l="1"/>
  <c r="F339"/>
  <c r="H339"/>
  <c r="I339"/>
  <c r="G342"/>
  <c r="D342"/>
  <c r="E324"/>
  <c r="F324"/>
  <c r="H324"/>
  <c r="I324"/>
  <c r="G328"/>
  <c r="D328"/>
  <c r="E317"/>
  <c r="F317"/>
  <c r="H317"/>
  <c r="I317"/>
  <c r="G320"/>
  <c r="D320"/>
  <c r="E312"/>
  <c r="F312"/>
  <c r="H312"/>
  <c r="I312"/>
  <c r="G314"/>
  <c r="D314"/>
  <c r="E303"/>
  <c r="F303"/>
  <c r="H303"/>
  <c r="I303"/>
  <c r="G305"/>
  <c r="D305"/>
  <c r="E300"/>
  <c r="F300"/>
  <c r="H300"/>
  <c r="I300"/>
  <c r="G301"/>
  <c r="D301"/>
  <c r="J328" l="1"/>
  <c r="J320"/>
  <c r="J314"/>
  <c r="J305"/>
  <c r="E294" l="1"/>
  <c r="F294"/>
  <c r="H294"/>
  <c r="I294"/>
  <c r="G296"/>
  <c r="D296"/>
  <c r="G297"/>
  <c r="D297"/>
  <c r="E289"/>
  <c r="F289"/>
  <c r="H289"/>
  <c r="I289"/>
  <c r="G290"/>
  <c r="D290"/>
  <c r="D289" s="1"/>
  <c r="E118"/>
  <c r="H113"/>
  <c r="E113"/>
  <c r="G103"/>
  <c r="D103"/>
  <c r="G106"/>
  <c r="D106"/>
  <c r="G108"/>
  <c r="D108"/>
  <c r="G48"/>
  <c r="D48"/>
  <c r="J297" l="1"/>
  <c r="J296"/>
  <c r="G289"/>
  <c r="J108"/>
  <c r="J48"/>
  <c r="H247" l="1"/>
  <c r="E247"/>
  <c r="E337"/>
  <c r="F337"/>
  <c r="H337"/>
  <c r="I337"/>
  <c r="G338"/>
  <c r="D338"/>
  <c r="D337" s="1"/>
  <c r="F220"/>
  <c r="H220"/>
  <c r="I220"/>
  <c r="E220"/>
  <c r="G223"/>
  <c r="D223"/>
  <c r="G222"/>
  <c r="D222"/>
  <c r="E224"/>
  <c r="F224"/>
  <c r="H224"/>
  <c r="I224"/>
  <c r="G337" l="1"/>
  <c r="J222"/>
  <c r="E77" l="1"/>
  <c r="F77"/>
  <c r="H77"/>
  <c r="I77"/>
  <c r="G80"/>
  <c r="D80"/>
  <c r="H82"/>
  <c r="E82"/>
  <c r="E73"/>
  <c r="F73"/>
  <c r="H73"/>
  <c r="I73"/>
  <c r="G76"/>
  <c r="D76"/>
  <c r="G75"/>
  <c r="D75"/>
  <c r="J76" l="1"/>
  <c r="J75"/>
  <c r="H282" l="1"/>
  <c r="E282"/>
  <c r="H217"/>
  <c r="E217"/>
  <c r="G132"/>
  <c r="G131" s="1"/>
  <c r="D132"/>
  <c r="D131" s="1"/>
  <c r="G62"/>
  <c r="G61" s="1"/>
  <c r="D62"/>
  <c r="I61"/>
  <c r="H61"/>
  <c r="F61"/>
  <c r="E61"/>
  <c r="D61"/>
  <c r="D60"/>
  <c r="G60"/>
  <c r="J60" s="1"/>
  <c r="E64"/>
  <c r="E63" s="1"/>
  <c r="F64"/>
  <c r="F63" s="1"/>
  <c r="H64"/>
  <c r="H63" s="1"/>
  <c r="I64"/>
  <c r="I63" s="1"/>
  <c r="J61" l="1"/>
  <c r="J62"/>
  <c r="K89" i="4" l="1"/>
  <c r="K84"/>
  <c r="H84"/>
  <c r="H83"/>
  <c r="G83"/>
  <c r="J83"/>
  <c r="H77"/>
  <c r="G77"/>
  <c r="K59"/>
  <c r="I109"/>
  <c r="H107"/>
  <c r="G81"/>
  <c r="H21"/>
  <c r="H22"/>
  <c r="I21"/>
  <c r="O16"/>
  <c r="H143"/>
  <c r="J143"/>
  <c r="H138"/>
  <c r="O137"/>
  <c r="I137"/>
  <c r="I136"/>
  <c r="I134"/>
  <c r="O132"/>
  <c r="I131"/>
  <c r="I130"/>
  <c r="G125"/>
  <c r="G124"/>
  <c r="H123"/>
  <c r="G123"/>
  <c r="O122"/>
  <c r="I120"/>
  <c r="K118"/>
  <c r="H117"/>
  <c r="G117"/>
  <c r="I115"/>
  <c r="O114"/>
  <c r="H114"/>
  <c r="I113"/>
  <c r="K111" l="1"/>
  <c r="P111"/>
  <c r="I111"/>
  <c r="H110"/>
  <c r="I108"/>
  <c r="G107"/>
  <c r="H104"/>
  <c r="G104"/>
  <c r="O99"/>
  <c r="H99"/>
  <c r="I99"/>
  <c r="I90"/>
  <c r="J86"/>
  <c r="O84"/>
  <c r="G84"/>
  <c r="I63"/>
  <c r="H62"/>
  <c r="K62"/>
  <c r="K61"/>
  <c r="H60"/>
  <c r="G60"/>
  <c r="O59"/>
  <c r="P59"/>
  <c r="G59"/>
  <c r="H58"/>
  <c r="G57"/>
  <c r="H57"/>
  <c r="P55"/>
  <c r="K55"/>
  <c r="P82"/>
  <c r="H82"/>
  <c r="G82"/>
  <c r="J82"/>
  <c r="H81"/>
  <c r="H79"/>
  <c r="O37" l="1"/>
  <c r="G35" l="1"/>
  <c r="I33"/>
  <c r="K23"/>
  <c r="P23"/>
  <c r="I22"/>
  <c r="O21"/>
  <c r="I17"/>
  <c r="H17"/>
  <c r="K16"/>
  <c r="I15"/>
  <c r="O15"/>
  <c r="K14"/>
  <c r="O12"/>
  <c r="H12"/>
  <c r="H11"/>
  <c r="G11"/>
  <c r="G10"/>
  <c r="G9"/>
  <c r="O53"/>
  <c r="H53"/>
  <c r="H49"/>
  <c r="G49"/>
  <c r="H48"/>
  <c r="G48"/>
  <c r="H44"/>
  <c r="P14"/>
  <c r="N143" l="1"/>
  <c r="F143"/>
  <c r="E143" s="1"/>
  <c r="D143" s="1"/>
  <c r="S143" s="1"/>
  <c r="N126"/>
  <c r="F126"/>
  <c r="E126" s="1"/>
  <c r="N89"/>
  <c r="F89"/>
  <c r="E89" s="1"/>
  <c r="D89" s="1"/>
  <c r="S89" s="1"/>
  <c r="N77"/>
  <c r="N78"/>
  <c r="F77"/>
  <c r="F78"/>
  <c r="E77"/>
  <c r="D77" s="1"/>
  <c r="S77" s="1"/>
  <c r="E78"/>
  <c r="D78" s="1"/>
  <c r="S78" s="1"/>
  <c r="N69"/>
  <c r="F69"/>
  <c r="E69" s="1"/>
  <c r="N36"/>
  <c r="F36"/>
  <c r="E36" s="1"/>
  <c r="D126" l="1"/>
  <c r="S126" s="1"/>
  <c r="D69"/>
  <c r="S69" s="1"/>
  <c r="D36"/>
  <c r="S36" s="1"/>
  <c r="D308" i="3"/>
  <c r="E200"/>
  <c r="I114"/>
  <c r="G69"/>
  <c r="F120" i="4"/>
  <c r="Q8"/>
  <c r="R8"/>
  <c r="N144" l="1"/>
  <c r="F144"/>
  <c r="E144" s="1"/>
  <c r="N142"/>
  <c r="N141" s="1"/>
  <c r="F142"/>
  <c r="E142"/>
  <c r="D142" s="1"/>
  <c r="R141"/>
  <c r="Q141"/>
  <c r="P141"/>
  <c r="O141"/>
  <c r="M141"/>
  <c r="L141"/>
  <c r="K141"/>
  <c r="J141"/>
  <c r="I141"/>
  <c r="H141"/>
  <c r="G141"/>
  <c r="C141"/>
  <c r="N140"/>
  <c r="N139" s="1"/>
  <c r="F140"/>
  <c r="E140" s="1"/>
  <c r="R139"/>
  <c r="Q139"/>
  <c r="P139"/>
  <c r="O139"/>
  <c r="M139"/>
  <c r="L139"/>
  <c r="K139"/>
  <c r="J139"/>
  <c r="I139"/>
  <c r="H139"/>
  <c r="G139"/>
  <c r="F139"/>
  <c r="C139"/>
  <c r="N138"/>
  <c r="F138"/>
  <c r="E138" s="1"/>
  <c r="N137"/>
  <c r="F137"/>
  <c r="E137" s="1"/>
  <c r="N136"/>
  <c r="F136"/>
  <c r="E136"/>
  <c r="D136" s="1"/>
  <c r="S136" s="1"/>
  <c r="N135"/>
  <c r="F135"/>
  <c r="E135" s="1"/>
  <c r="N134"/>
  <c r="F134"/>
  <c r="E134" s="1"/>
  <c r="N133"/>
  <c r="F133"/>
  <c r="E133" s="1"/>
  <c r="N132"/>
  <c r="F132"/>
  <c r="E132" s="1"/>
  <c r="D132" s="1"/>
  <c r="S132" s="1"/>
  <c r="N131"/>
  <c r="F131"/>
  <c r="E131" s="1"/>
  <c r="N130"/>
  <c r="F130"/>
  <c r="E130" s="1"/>
  <c r="N129"/>
  <c r="F129"/>
  <c r="E129" s="1"/>
  <c r="R128"/>
  <c r="Q128"/>
  <c r="P128"/>
  <c r="O128"/>
  <c r="M128"/>
  <c r="L128"/>
  <c r="K128"/>
  <c r="J128"/>
  <c r="I128"/>
  <c r="H128"/>
  <c r="G128"/>
  <c r="C128"/>
  <c r="N127"/>
  <c r="F127"/>
  <c r="E127" s="1"/>
  <c r="D127" s="1"/>
  <c r="S127" s="1"/>
  <c r="N125"/>
  <c r="F125"/>
  <c r="E125" s="1"/>
  <c r="D125" s="1"/>
  <c r="S125" s="1"/>
  <c r="N124"/>
  <c r="F124"/>
  <c r="E124" s="1"/>
  <c r="D124" s="1"/>
  <c r="S124" s="1"/>
  <c r="N123"/>
  <c r="F123"/>
  <c r="E123" s="1"/>
  <c r="N122"/>
  <c r="F122"/>
  <c r="E122" s="1"/>
  <c r="R121"/>
  <c r="Q121"/>
  <c r="P121"/>
  <c r="O121"/>
  <c r="M121"/>
  <c r="L121"/>
  <c r="K121"/>
  <c r="J121"/>
  <c r="I121"/>
  <c r="H121"/>
  <c r="G121"/>
  <c r="C121"/>
  <c r="N120"/>
  <c r="E120"/>
  <c r="N119"/>
  <c r="F119"/>
  <c r="E119" s="1"/>
  <c r="N118"/>
  <c r="F118"/>
  <c r="N117"/>
  <c r="F117"/>
  <c r="E117" s="1"/>
  <c r="R116"/>
  <c r="Q116"/>
  <c r="P116"/>
  <c r="O116"/>
  <c r="M116"/>
  <c r="L116"/>
  <c r="K116"/>
  <c r="J116"/>
  <c r="I116"/>
  <c r="H116"/>
  <c r="G116"/>
  <c r="C116"/>
  <c r="N115"/>
  <c r="F115"/>
  <c r="E115" s="1"/>
  <c r="N114"/>
  <c r="F114"/>
  <c r="N113"/>
  <c r="F113"/>
  <c r="E113" s="1"/>
  <c r="D113" s="1"/>
  <c r="R112"/>
  <c r="Q112"/>
  <c r="P112"/>
  <c r="O112"/>
  <c r="M112"/>
  <c r="L112"/>
  <c r="K112"/>
  <c r="J112"/>
  <c r="I112"/>
  <c r="H112"/>
  <c r="G112"/>
  <c r="C112"/>
  <c r="N111"/>
  <c r="F111"/>
  <c r="E111" s="1"/>
  <c r="N110"/>
  <c r="F110"/>
  <c r="E110" s="1"/>
  <c r="N109"/>
  <c r="F109"/>
  <c r="E109" s="1"/>
  <c r="N108"/>
  <c r="F108"/>
  <c r="E108" s="1"/>
  <c r="N107"/>
  <c r="F107"/>
  <c r="E107" s="1"/>
  <c r="N106"/>
  <c r="F106"/>
  <c r="E106" s="1"/>
  <c r="N105"/>
  <c r="F105"/>
  <c r="E105" s="1"/>
  <c r="N104"/>
  <c r="F104"/>
  <c r="E104" s="1"/>
  <c r="N103"/>
  <c r="F103"/>
  <c r="E103" s="1"/>
  <c r="R102"/>
  <c r="Q102"/>
  <c r="P102"/>
  <c r="O102"/>
  <c r="M102"/>
  <c r="L102"/>
  <c r="K102"/>
  <c r="J102"/>
  <c r="I102"/>
  <c r="H102"/>
  <c r="G102"/>
  <c r="C102"/>
  <c r="N101"/>
  <c r="F101"/>
  <c r="E101" s="1"/>
  <c r="N100"/>
  <c r="F100"/>
  <c r="E100" s="1"/>
  <c r="N99"/>
  <c r="F99"/>
  <c r="E99" s="1"/>
  <c r="N98"/>
  <c r="F98"/>
  <c r="E98" s="1"/>
  <c r="N97"/>
  <c r="F97"/>
  <c r="E97" s="1"/>
  <c r="N96"/>
  <c r="F96"/>
  <c r="E96" s="1"/>
  <c r="N95"/>
  <c r="F95"/>
  <c r="E95" s="1"/>
  <c r="N94"/>
  <c r="F94"/>
  <c r="E94" s="1"/>
  <c r="D94" s="1"/>
  <c r="S94" s="1"/>
  <c r="N93"/>
  <c r="F93"/>
  <c r="N92"/>
  <c r="F92"/>
  <c r="E92" s="1"/>
  <c r="R91"/>
  <c r="Q91"/>
  <c r="P91"/>
  <c r="O91"/>
  <c r="M91"/>
  <c r="L91"/>
  <c r="K91"/>
  <c r="J91"/>
  <c r="I91"/>
  <c r="H91"/>
  <c r="G91"/>
  <c r="C91"/>
  <c r="N90"/>
  <c r="F90"/>
  <c r="E90" s="1"/>
  <c r="N88"/>
  <c r="F88"/>
  <c r="E88" s="1"/>
  <c r="R87"/>
  <c r="Q87"/>
  <c r="P87"/>
  <c r="O87"/>
  <c r="M87"/>
  <c r="L87"/>
  <c r="K87"/>
  <c r="J87"/>
  <c r="I87"/>
  <c r="H87"/>
  <c r="G87"/>
  <c r="C87"/>
  <c r="N86"/>
  <c r="F86"/>
  <c r="E86" s="1"/>
  <c r="N85"/>
  <c r="F85"/>
  <c r="E85" s="1"/>
  <c r="N84"/>
  <c r="F84"/>
  <c r="E84" s="1"/>
  <c r="N83"/>
  <c r="F83"/>
  <c r="E83" s="1"/>
  <c r="N82"/>
  <c r="F82"/>
  <c r="E82" s="1"/>
  <c r="N81"/>
  <c r="F81"/>
  <c r="E81" s="1"/>
  <c r="F80"/>
  <c r="E80" s="1"/>
  <c r="D80" s="1"/>
  <c r="S80" s="1"/>
  <c r="F79"/>
  <c r="E79" s="1"/>
  <c r="D79" s="1"/>
  <c r="S79" s="1"/>
  <c r="N76"/>
  <c r="F76"/>
  <c r="E76" s="1"/>
  <c r="R75"/>
  <c r="Q75"/>
  <c r="P75"/>
  <c r="O75"/>
  <c r="M75"/>
  <c r="L75"/>
  <c r="K75"/>
  <c r="J75"/>
  <c r="I75"/>
  <c r="H75"/>
  <c r="G75"/>
  <c r="C75"/>
  <c r="N74"/>
  <c r="N73" s="1"/>
  <c r="F74"/>
  <c r="E74" s="1"/>
  <c r="E73" s="1"/>
  <c r="R73"/>
  <c r="Q73"/>
  <c r="P73"/>
  <c r="O73"/>
  <c r="M73"/>
  <c r="L73"/>
  <c r="K73"/>
  <c r="J73"/>
  <c r="I73"/>
  <c r="H73"/>
  <c r="G73"/>
  <c r="F73"/>
  <c r="C73"/>
  <c r="N72"/>
  <c r="N71" s="1"/>
  <c r="F72"/>
  <c r="E72" s="1"/>
  <c r="R71"/>
  <c r="Q71"/>
  <c r="P71"/>
  <c r="O71"/>
  <c r="M71"/>
  <c r="L71"/>
  <c r="K71"/>
  <c r="J71"/>
  <c r="I71"/>
  <c r="H71"/>
  <c r="G71"/>
  <c r="C71"/>
  <c r="N70"/>
  <c r="F70"/>
  <c r="E70" s="1"/>
  <c r="N68"/>
  <c r="F68"/>
  <c r="N67"/>
  <c r="F67"/>
  <c r="E67" s="1"/>
  <c r="R66"/>
  <c r="Q66"/>
  <c r="P66"/>
  <c r="O66"/>
  <c r="M66"/>
  <c r="L66"/>
  <c r="K66"/>
  <c r="J66"/>
  <c r="I66"/>
  <c r="H66"/>
  <c r="G66"/>
  <c r="C66"/>
  <c r="N65"/>
  <c r="N64" s="1"/>
  <c r="F65"/>
  <c r="E65" s="1"/>
  <c r="R64"/>
  <c r="Q64"/>
  <c r="P64"/>
  <c r="O64"/>
  <c r="M64"/>
  <c r="L64"/>
  <c r="K64"/>
  <c r="J64"/>
  <c r="I64"/>
  <c r="H64"/>
  <c r="G64"/>
  <c r="F64"/>
  <c r="C64"/>
  <c r="N63"/>
  <c r="F63"/>
  <c r="E63" s="1"/>
  <c r="N62"/>
  <c r="F62"/>
  <c r="E62" s="1"/>
  <c r="N61"/>
  <c r="F61"/>
  <c r="E61" s="1"/>
  <c r="N60"/>
  <c r="F60"/>
  <c r="E60" s="1"/>
  <c r="N59"/>
  <c r="F59"/>
  <c r="E59" s="1"/>
  <c r="N58"/>
  <c r="F58"/>
  <c r="N57"/>
  <c r="F57"/>
  <c r="E57" s="1"/>
  <c r="R56"/>
  <c r="Q56"/>
  <c r="P56"/>
  <c r="O56"/>
  <c r="M56"/>
  <c r="L56"/>
  <c r="K56"/>
  <c r="J56"/>
  <c r="I56"/>
  <c r="H56"/>
  <c r="G56"/>
  <c r="C56"/>
  <c r="N55"/>
  <c r="N54" s="1"/>
  <c r="F55"/>
  <c r="E55" s="1"/>
  <c r="D55" s="1"/>
  <c r="R54"/>
  <c r="Q54"/>
  <c r="P54"/>
  <c r="O54"/>
  <c r="M54"/>
  <c r="L54"/>
  <c r="K54"/>
  <c r="J54"/>
  <c r="I54"/>
  <c r="H54"/>
  <c r="G54"/>
  <c r="C54"/>
  <c r="N53"/>
  <c r="N52" s="1"/>
  <c r="F53"/>
  <c r="E53" s="1"/>
  <c r="R52"/>
  <c r="Q52"/>
  <c r="P52"/>
  <c r="O52"/>
  <c r="M52"/>
  <c r="L52"/>
  <c r="K52"/>
  <c r="J52"/>
  <c r="I52"/>
  <c r="H52"/>
  <c r="G52"/>
  <c r="F52"/>
  <c r="C52"/>
  <c r="N51"/>
  <c r="F51"/>
  <c r="E51" s="1"/>
  <c r="N50"/>
  <c r="F50"/>
  <c r="E50" s="1"/>
  <c r="N49"/>
  <c r="F49"/>
  <c r="E49" s="1"/>
  <c r="N48"/>
  <c r="F48"/>
  <c r="E48" s="1"/>
  <c r="N47"/>
  <c r="F47"/>
  <c r="E47" s="1"/>
  <c r="N46"/>
  <c r="F46"/>
  <c r="E46" s="1"/>
  <c r="R45"/>
  <c r="Q45"/>
  <c r="P45"/>
  <c r="O45"/>
  <c r="N45"/>
  <c r="M45"/>
  <c r="L45"/>
  <c r="K45"/>
  <c r="J45"/>
  <c r="I45"/>
  <c r="H45"/>
  <c r="G45"/>
  <c r="C45"/>
  <c r="N44"/>
  <c r="N43" s="1"/>
  <c r="F44"/>
  <c r="E44" s="1"/>
  <c r="E43" s="1"/>
  <c r="R43"/>
  <c r="Q43"/>
  <c r="P43"/>
  <c r="O43"/>
  <c r="M43"/>
  <c r="L43"/>
  <c r="K43"/>
  <c r="J43"/>
  <c r="I43"/>
  <c r="H43"/>
  <c r="G43"/>
  <c r="F43"/>
  <c r="C43"/>
  <c r="N42"/>
  <c r="F42"/>
  <c r="N41"/>
  <c r="N40" s="1"/>
  <c r="F41"/>
  <c r="E41" s="1"/>
  <c r="R40"/>
  <c r="Q40"/>
  <c r="P40"/>
  <c r="O40"/>
  <c r="M40"/>
  <c r="L40"/>
  <c r="K40"/>
  <c r="J40"/>
  <c r="I40"/>
  <c r="H40"/>
  <c r="G40"/>
  <c r="C40"/>
  <c r="N39"/>
  <c r="F39"/>
  <c r="E39" s="1"/>
  <c r="N38"/>
  <c r="F38"/>
  <c r="E38" s="1"/>
  <c r="N37"/>
  <c r="F37"/>
  <c r="E37" s="1"/>
  <c r="N35"/>
  <c r="F35"/>
  <c r="E35" s="1"/>
  <c r="N34"/>
  <c r="F34"/>
  <c r="E34" s="1"/>
  <c r="N33"/>
  <c r="F33"/>
  <c r="E33" s="1"/>
  <c r="N32"/>
  <c r="F32"/>
  <c r="E32" s="1"/>
  <c r="N31"/>
  <c r="F31"/>
  <c r="E31" s="1"/>
  <c r="R30"/>
  <c r="Q30"/>
  <c r="P30"/>
  <c r="O30"/>
  <c r="M30"/>
  <c r="L30"/>
  <c r="K30"/>
  <c r="J30"/>
  <c r="I30"/>
  <c r="H30"/>
  <c r="G30"/>
  <c r="C30"/>
  <c r="N29"/>
  <c r="F29"/>
  <c r="E29" s="1"/>
  <c r="E28" s="1"/>
  <c r="R28"/>
  <c r="Q28"/>
  <c r="P28"/>
  <c r="O28"/>
  <c r="N28"/>
  <c r="M28"/>
  <c r="L28"/>
  <c r="K28"/>
  <c r="J28"/>
  <c r="I28"/>
  <c r="H28"/>
  <c r="G28"/>
  <c r="C28"/>
  <c r="N27"/>
  <c r="F27"/>
  <c r="E27" s="1"/>
  <c r="N26"/>
  <c r="F26"/>
  <c r="E26" s="1"/>
  <c r="N25"/>
  <c r="F25"/>
  <c r="E25" s="1"/>
  <c r="R24"/>
  <c r="Q24"/>
  <c r="P24"/>
  <c r="O24"/>
  <c r="M24"/>
  <c r="L24"/>
  <c r="K24"/>
  <c r="J24"/>
  <c r="I24"/>
  <c r="H24"/>
  <c r="G24"/>
  <c r="C24"/>
  <c r="N23"/>
  <c r="F23"/>
  <c r="E23" s="1"/>
  <c r="N22"/>
  <c r="F22"/>
  <c r="E22" s="1"/>
  <c r="N21"/>
  <c r="F21"/>
  <c r="E21" s="1"/>
  <c r="R20"/>
  <c r="Q20"/>
  <c r="P20"/>
  <c r="O20"/>
  <c r="N20"/>
  <c r="M20"/>
  <c r="L20"/>
  <c r="K20"/>
  <c r="J20"/>
  <c r="I20"/>
  <c r="H20"/>
  <c r="G20"/>
  <c r="C20"/>
  <c r="N19"/>
  <c r="F19"/>
  <c r="E19" s="1"/>
  <c r="E18" s="1"/>
  <c r="R18"/>
  <c r="Q18"/>
  <c r="P18"/>
  <c r="O18"/>
  <c r="N18"/>
  <c r="M18"/>
  <c r="L18"/>
  <c r="K18"/>
  <c r="J18"/>
  <c r="I18"/>
  <c r="H18"/>
  <c r="G18"/>
  <c r="C18"/>
  <c r="N17"/>
  <c r="F17"/>
  <c r="E17" s="1"/>
  <c r="N16"/>
  <c r="F16"/>
  <c r="E16" s="1"/>
  <c r="N15"/>
  <c r="F15"/>
  <c r="E15" s="1"/>
  <c r="N14"/>
  <c r="F14"/>
  <c r="E14" s="1"/>
  <c r="N13"/>
  <c r="F13"/>
  <c r="E13" s="1"/>
  <c r="N12"/>
  <c r="F12"/>
  <c r="E12" s="1"/>
  <c r="N11"/>
  <c r="F11"/>
  <c r="E11" s="1"/>
  <c r="N10"/>
  <c r="F10"/>
  <c r="E10" s="1"/>
  <c r="N9"/>
  <c r="F9"/>
  <c r="E9" s="1"/>
  <c r="P8"/>
  <c r="O8"/>
  <c r="M8"/>
  <c r="L8"/>
  <c r="L145" s="1"/>
  <c r="K8"/>
  <c r="J8"/>
  <c r="J145" s="1"/>
  <c r="I8"/>
  <c r="H8"/>
  <c r="G8"/>
  <c r="C8"/>
  <c r="D70" l="1"/>
  <c r="S70" s="1"/>
  <c r="D41"/>
  <c r="D47"/>
  <c r="S47" s="1"/>
  <c r="D49"/>
  <c r="S49" s="1"/>
  <c r="D50"/>
  <c r="S50" s="1"/>
  <c r="F54"/>
  <c r="D90"/>
  <c r="S90" s="1"/>
  <c r="D27"/>
  <c r="S27" s="1"/>
  <c r="D98"/>
  <c r="S98" s="1"/>
  <c r="D106"/>
  <c r="S106" s="1"/>
  <c r="D108"/>
  <c r="S108" s="1"/>
  <c r="D109"/>
  <c r="S109" s="1"/>
  <c r="D110"/>
  <c r="S110" s="1"/>
  <c r="O145"/>
  <c r="D10"/>
  <c r="S10" s="1"/>
  <c r="D13"/>
  <c r="S13" s="1"/>
  <c r="F28"/>
  <c r="D59"/>
  <c r="D61"/>
  <c r="S61" s="1"/>
  <c r="D81"/>
  <c r="S81" s="1"/>
  <c r="D83"/>
  <c r="S83" s="1"/>
  <c r="E87"/>
  <c r="D97"/>
  <c r="S97" s="1"/>
  <c r="D119"/>
  <c r="S119" s="1"/>
  <c r="R145"/>
  <c r="N75"/>
  <c r="M145"/>
  <c r="D140"/>
  <c r="D135"/>
  <c r="S135" s="1"/>
  <c r="D134"/>
  <c r="S134" s="1"/>
  <c r="D131"/>
  <c r="S131" s="1"/>
  <c r="D130"/>
  <c r="S130" s="1"/>
  <c r="D122"/>
  <c r="S122" s="1"/>
  <c r="D111"/>
  <c r="S111" s="1"/>
  <c r="D107"/>
  <c r="S107" s="1"/>
  <c r="D96"/>
  <c r="S96" s="1"/>
  <c r="D92"/>
  <c r="N87"/>
  <c r="D86"/>
  <c r="S86" s="1"/>
  <c r="D85"/>
  <c r="S85" s="1"/>
  <c r="D84"/>
  <c r="S84" s="1"/>
  <c r="D63"/>
  <c r="S63" s="1"/>
  <c r="D62"/>
  <c r="S62" s="1"/>
  <c r="D67"/>
  <c r="D82"/>
  <c r="S82" s="1"/>
  <c r="P145"/>
  <c r="D51"/>
  <c r="S51" s="1"/>
  <c r="D48"/>
  <c r="S48" s="1"/>
  <c r="D39"/>
  <c r="S39" s="1"/>
  <c r="H145"/>
  <c r="D26"/>
  <c r="S26" s="1"/>
  <c r="D23"/>
  <c r="S23" s="1"/>
  <c r="D22"/>
  <c r="S22" s="1"/>
  <c r="D16"/>
  <c r="S16" s="1"/>
  <c r="D15"/>
  <c r="S15" s="1"/>
  <c r="D14"/>
  <c r="S14" s="1"/>
  <c r="D12"/>
  <c r="S12" s="1"/>
  <c r="N128"/>
  <c r="C145"/>
  <c r="F18"/>
  <c r="F20"/>
  <c r="F24"/>
  <c r="E24"/>
  <c r="D31"/>
  <c r="S31" s="1"/>
  <c r="D32"/>
  <c r="S32" s="1"/>
  <c r="D33"/>
  <c r="S33" s="1"/>
  <c r="D34"/>
  <c r="S34" s="1"/>
  <c r="D35"/>
  <c r="S35" s="1"/>
  <c r="D37"/>
  <c r="S37" s="1"/>
  <c r="D38"/>
  <c r="S38" s="1"/>
  <c r="D57"/>
  <c r="S59"/>
  <c r="D60"/>
  <c r="S60" s="1"/>
  <c r="N66"/>
  <c r="D72"/>
  <c r="F87"/>
  <c r="D95"/>
  <c r="S95" s="1"/>
  <c r="D99"/>
  <c r="S99" s="1"/>
  <c r="D100"/>
  <c r="S100" s="1"/>
  <c r="D101"/>
  <c r="S101" s="1"/>
  <c r="D103"/>
  <c r="S103" s="1"/>
  <c r="D104"/>
  <c r="S104" s="1"/>
  <c r="D105"/>
  <c r="D115"/>
  <c r="S115" s="1"/>
  <c r="D117"/>
  <c r="D123"/>
  <c r="D121" s="1"/>
  <c r="S121" s="1"/>
  <c r="F128"/>
  <c r="D133"/>
  <c r="S133" s="1"/>
  <c r="D138"/>
  <c r="S138" s="1"/>
  <c r="F8"/>
  <c r="D11"/>
  <c r="S11" s="1"/>
  <c r="E8"/>
  <c r="D19"/>
  <c r="E20"/>
  <c r="D44"/>
  <c r="F45"/>
  <c r="E45"/>
  <c r="D53"/>
  <c r="S53" s="1"/>
  <c r="E52"/>
  <c r="E54"/>
  <c r="D65"/>
  <c r="E64"/>
  <c r="D74"/>
  <c r="F75"/>
  <c r="E75"/>
  <c r="E139"/>
  <c r="D137"/>
  <c r="S137" s="1"/>
  <c r="N121"/>
  <c r="D120"/>
  <c r="S120" s="1"/>
  <c r="N102"/>
  <c r="N91"/>
  <c r="N56"/>
  <c r="N30"/>
  <c r="N24"/>
  <c r="N8"/>
  <c r="D17"/>
  <c r="S17" s="1"/>
  <c r="S105"/>
  <c r="S123"/>
  <c r="S41"/>
  <c r="E42"/>
  <c r="D42" s="1"/>
  <c r="S42" s="1"/>
  <c r="F40"/>
  <c r="S92"/>
  <c r="E93"/>
  <c r="D93" s="1"/>
  <c r="S93" s="1"/>
  <c r="F91"/>
  <c r="E128"/>
  <c r="D129"/>
  <c r="S142"/>
  <c r="Q145"/>
  <c r="S57"/>
  <c r="E58"/>
  <c r="D58" s="1"/>
  <c r="S58" s="1"/>
  <c r="F56"/>
  <c r="S67"/>
  <c r="E68"/>
  <c r="D68" s="1"/>
  <c r="S68" s="1"/>
  <c r="F66"/>
  <c r="S72"/>
  <c r="F71"/>
  <c r="D52"/>
  <c r="S52" s="1"/>
  <c r="S55"/>
  <c r="D54"/>
  <c r="S54" s="1"/>
  <c r="S65"/>
  <c r="D64"/>
  <c r="S64" s="1"/>
  <c r="S113"/>
  <c r="E114"/>
  <c r="F112"/>
  <c r="S117"/>
  <c r="E118"/>
  <c r="F116"/>
  <c r="S140"/>
  <c r="D139"/>
  <c r="S139" s="1"/>
  <c r="D144"/>
  <c r="S144" s="1"/>
  <c r="E141"/>
  <c r="D9"/>
  <c r="D21"/>
  <c r="D25"/>
  <c r="D29"/>
  <c r="F30"/>
  <c r="E30"/>
  <c r="E40"/>
  <c r="D46"/>
  <c r="E56"/>
  <c r="E71"/>
  <c r="D76"/>
  <c r="D88"/>
  <c r="E91"/>
  <c r="F102"/>
  <c r="E102"/>
  <c r="N112"/>
  <c r="N116"/>
  <c r="F121"/>
  <c r="E121"/>
  <c r="G145"/>
  <c r="I145"/>
  <c r="K145"/>
  <c r="F141"/>
  <c r="D102" l="1"/>
  <c r="S102" s="1"/>
  <c r="E66"/>
  <c r="D30"/>
  <c r="S30" s="1"/>
  <c r="F145"/>
  <c r="S19"/>
  <c r="D18"/>
  <c r="S18" s="1"/>
  <c r="S44"/>
  <c r="D43"/>
  <c r="S43" s="1"/>
  <c r="S74"/>
  <c r="D73"/>
  <c r="S73" s="1"/>
  <c r="N145"/>
  <c r="D91"/>
  <c r="S91" s="1"/>
  <c r="D40"/>
  <c r="S40" s="1"/>
  <c r="D75"/>
  <c r="S75" s="1"/>
  <c r="S76"/>
  <c r="D45"/>
  <c r="S45" s="1"/>
  <c r="S46"/>
  <c r="D28"/>
  <c r="S28" s="1"/>
  <c r="S29"/>
  <c r="D20"/>
  <c r="S20" s="1"/>
  <c r="S21"/>
  <c r="D71"/>
  <c r="S71" s="1"/>
  <c r="D66"/>
  <c r="S66" s="1"/>
  <c r="D56"/>
  <c r="D87"/>
  <c r="S87" s="1"/>
  <c r="S88"/>
  <c r="D24"/>
  <c r="S24" s="1"/>
  <c r="S25"/>
  <c r="D8"/>
  <c r="S8" s="1"/>
  <c r="S9"/>
  <c r="D118"/>
  <c r="E116"/>
  <c r="D114"/>
  <c r="E112"/>
  <c r="E145" s="1"/>
  <c r="S129"/>
  <c r="D128"/>
  <c r="S128" s="1"/>
  <c r="D141"/>
  <c r="S141" s="1"/>
  <c r="S56" l="1"/>
  <c r="D145"/>
  <c r="S145" s="1"/>
  <c r="S114"/>
  <c r="D112"/>
  <c r="S112" s="1"/>
  <c r="S118"/>
  <c r="D116"/>
  <c r="S116" s="1"/>
  <c r="G341" i="3" l="1"/>
  <c r="D341"/>
  <c r="G340"/>
  <c r="G339" s="1"/>
  <c r="D340"/>
  <c r="D339" s="1"/>
  <c r="I336"/>
  <c r="H336"/>
  <c r="F336"/>
  <c r="E336"/>
  <c r="D336"/>
  <c r="G335"/>
  <c r="D335"/>
  <c r="G334"/>
  <c r="D334"/>
  <c r="I333"/>
  <c r="H333"/>
  <c r="G333"/>
  <c r="F333"/>
  <c r="E333"/>
  <c r="D333"/>
  <c r="I332"/>
  <c r="H332"/>
  <c r="G332"/>
  <c r="F332"/>
  <c r="E332"/>
  <c r="D332"/>
  <c r="G331"/>
  <c r="D331"/>
  <c r="G330"/>
  <c r="D330"/>
  <c r="I329"/>
  <c r="H329"/>
  <c r="G329"/>
  <c r="F329"/>
  <c r="E329"/>
  <c r="D329"/>
  <c r="G327"/>
  <c r="D327"/>
  <c r="G326"/>
  <c r="D326"/>
  <c r="G325"/>
  <c r="G324" s="1"/>
  <c r="D325"/>
  <c r="G323"/>
  <c r="D323"/>
  <c r="G322"/>
  <c r="D322"/>
  <c r="I321"/>
  <c r="H321"/>
  <c r="G321"/>
  <c r="F321"/>
  <c r="E321"/>
  <c r="G319"/>
  <c r="D319"/>
  <c r="G318"/>
  <c r="G317" s="1"/>
  <c r="D318"/>
  <c r="D317" s="1"/>
  <c r="G316"/>
  <c r="D316"/>
  <c r="D315" s="1"/>
  <c r="I315"/>
  <c r="H315"/>
  <c r="F315"/>
  <c r="E315"/>
  <c r="G313"/>
  <c r="G312" s="1"/>
  <c r="D313"/>
  <c r="D312" s="1"/>
  <c r="G311"/>
  <c r="D311"/>
  <c r="D310" s="1"/>
  <c r="I310"/>
  <c r="H310"/>
  <c r="F310"/>
  <c r="E310"/>
  <c r="G309"/>
  <c r="D309"/>
  <c r="G308"/>
  <c r="J308" s="1"/>
  <c r="I307"/>
  <c r="H307"/>
  <c r="H306" s="1"/>
  <c r="F307"/>
  <c r="E307"/>
  <c r="F306"/>
  <c r="E306"/>
  <c r="G304"/>
  <c r="G303" s="1"/>
  <c r="D304"/>
  <c r="D303" s="1"/>
  <c r="G302"/>
  <c r="G300" s="1"/>
  <c r="D302"/>
  <c r="G299"/>
  <c r="D299"/>
  <c r="D298" s="1"/>
  <c r="I298"/>
  <c r="H298"/>
  <c r="F298"/>
  <c r="E298"/>
  <c r="G295"/>
  <c r="G294" s="1"/>
  <c r="D295"/>
  <c r="D294" s="1"/>
  <c r="G293"/>
  <c r="D293"/>
  <c r="G292"/>
  <c r="D292"/>
  <c r="I291"/>
  <c r="H291"/>
  <c r="G291"/>
  <c r="F291"/>
  <c r="E291"/>
  <c r="D291"/>
  <c r="G288"/>
  <c r="D288"/>
  <c r="G287"/>
  <c r="D287"/>
  <c r="D286" s="1"/>
  <c r="I286"/>
  <c r="H286"/>
  <c r="F286"/>
  <c r="E286"/>
  <c r="G284"/>
  <c r="D284"/>
  <c r="G283"/>
  <c r="D283"/>
  <c r="G282"/>
  <c r="D282"/>
  <c r="I281"/>
  <c r="H281"/>
  <c r="G281"/>
  <c r="F281"/>
  <c r="E281"/>
  <c r="D281"/>
  <c r="G280"/>
  <c r="D280"/>
  <c r="I279"/>
  <c r="H279"/>
  <c r="G279"/>
  <c r="F279"/>
  <c r="E279"/>
  <c r="D279"/>
  <c r="G278"/>
  <c r="D278"/>
  <c r="I277"/>
  <c r="H277"/>
  <c r="G277"/>
  <c r="F277"/>
  <c r="E277"/>
  <c r="D277"/>
  <c r="I276"/>
  <c r="H276"/>
  <c r="G276"/>
  <c r="F276"/>
  <c r="E276"/>
  <c r="D276"/>
  <c r="G275"/>
  <c r="D275"/>
  <c r="G274"/>
  <c r="D274"/>
  <c r="G273"/>
  <c r="D273"/>
  <c r="G272"/>
  <c r="D272"/>
  <c r="G271"/>
  <c r="D271"/>
  <c r="I270"/>
  <c r="H270"/>
  <c r="G270"/>
  <c r="F270"/>
  <c r="E270"/>
  <c r="D270"/>
  <c r="G267"/>
  <c r="D267"/>
  <c r="G265"/>
  <c r="D265"/>
  <c r="G264"/>
  <c r="D264"/>
  <c r="G263"/>
  <c r="D263"/>
  <c r="G262"/>
  <c r="D262"/>
  <c r="G261"/>
  <c r="D261"/>
  <c r="G260"/>
  <c r="D260"/>
  <c r="G259"/>
  <c r="G258" s="1"/>
  <c r="D259"/>
  <c r="D258" s="1"/>
  <c r="I255"/>
  <c r="H255"/>
  <c r="G255"/>
  <c r="F255"/>
  <c r="E255"/>
  <c r="D255"/>
  <c r="G254"/>
  <c r="D254"/>
  <c r="G253"/>
  <c r="D253"/>
  <c r="G252"/>
  <c r="D252"/>
  <c r="I251"/>
  <c r="H251"/>
  <c r="G251"/>
  <c r="F251"/>
  <c r="E251"/>
  <c r="D251"/>
  <c r="G250"/>
  <c r="D250"/>
  <c r="D249" s="1"/>
  <c r="I249"/>
  <c r="H249"/>
  <c r="G249"/>
  <c r="F249"/>
  <c r="E249"/>
  <c r="G248"/>
  <c r="D248"/>
  <c r="G247"/>
  <c r="D247"/>
  <c r="I246"/>
  <c r="H246"/>
  <c r="G246"/>
  <c r="F246"/>
  <c r="E246"/>
  <c r="D246"/>
  <c r="G245"/>
  <c r="D245"/>
  <c r="G244"/>
  <c r="D244"/>
  <c r="I243"/>
  <c r="H243"/>
  <c r="G243"/>
  <c r="F243"/>
  <c r="E243"/>
  <c r="D243"/>
  <c r="G242"/>
  <c r="D242"/>
  <c r="G241"/>
  <c r="D241"/>
  <c r="G240"/>
  <c r="D240"/>
  <c r="I239"/>
  <c r="H239"/>
  <c r="G239"/>
  <c r="F239"/>
  <c r="E239"/>
  <c r="D239"/>
  <c r="G238"/>
  <c r="D238"/>
  <c r="G237"/>
  <c r="D237"/>
  <c r="I236"/>
  <c r="H236"/>
  <c r="G236"/>
  <c r="G235" s="1"/>
  <c r="F236"/>
  <c r="E236"/>
  <c r="E235" s="1"/>
  <c r="D236"/>
  <c r="H235"/>
  <c r="G234"/>
  <c r="D234"/>
  <c r="I233"/>
  <c r="H233"/>
  <c r="G233"/>
  <c r="F233"/>
  <c r="E233"/>
  <c r="D233"/>
  <c r="G232"/>
  <c r="D232"/>
  <c r="G231"/>
  <c r="D231"/>
  <c r="I230"/>
  <c r="H230"/>
  <c r="G230"/>
  <c r="F230"/>
  <c r="E230"/>
  <c r="D230"/>
  <c r="G229"/>
  <c r="D229"/>
  <c r="I228"/>
  <c r="H228"/>
  <c r="G228"/>
  <c r="F228"/>
  <c r="E228"/>
  <c r="D228"/>
  <c r="G227"/>
  <c r="D227"/>
  <c r="I226"/>
  <c r="H226"/>
  <c r="G226"/>
  <c r="F226"/>
  <c r="E226"/>
  <c r="D226"/>
  <c r="G225"/>
  <c r="G224" s="1"/>
  <c r="D225"/>
  <c r="G221"/>
  <c r="G220" s="1"/>
  <c r="D221"/>
  <c r="D220" s="1"/>
  <c r="I219"/>
  <c r="H219"/>
  <c r="G219"/>
  <c r="F219"/>
  <c r="E219"/>
  <c r="G218"/>
  <c r="D218"/>
  <c r="G217"/>
  <c r="D217"/>
  <c r="I216"/>
  <c r="H216"/>
  <c r="G216"/>
  <c r="F216"/>
  <c r="E216"/>
  <c r="D216"/>
  <c r="I215"/>
  <c r="H215"/>
  <c r="G215"/>
  <c r="F215"/>
  <c r="E215"/>
  <c r="D215"/>
  <c r="G211"/>
  <c r="D211"/>
  <c r="G210"/>
  <c r="D210"/>
  <c r="G208"/>
  <c r="D208"/>
  <c r="G207"/>
  <c r="D207"/>
  <c r="I206"/>
  <c r="H206"/>
  <c r="G206"/>
  <c r="F206"/>
  <c r="E206"/>
  <c r="D206"/>
  <c r="G205"/>
  <c r="D205"/>
  <c r="G204"/>
  <c r="D204"/>
  <c r="G203"/>
  <c r="D203"/>
  <c r="G202"/>
  <c r="D202"/>
  <c r="G201"/>
  <c r="D201"/>
  <c r="I200"/>
  <c r="H200"/>
  <c r="G200"/>
  <c r="F200"/>
  <c r="G199"/>
  <c r="D199"/>
  <c r="G198"/>
  <c r="D198"/>
  <c r="I197"/>
  <c r="H197"/>
  <c r="G197"/>
  <c r="F197"/>
  <c r="E197"/>
  <c r="D197"/>
  <c r="G196"/>
  <c r="D196"/>
  <c r="G195"/>
  <c r="D195"/>
  <c r="G194"/>
  <c r="D194"/>
  <c r="I193"/>
  <c r="H193"/>
  <c r="G193"/>
  <c r="F193"/>
  <c r="E193"/>
  <c r="D193"/>
  <c r="G192"/>
  <c r="D192"/>
  <c r="G191"/>
  <c r="D191"/>
  <c r="I190"/>
  <c r="H190"/>
  <c r="H189" s="1"/>
  <c r="G190"/>
  <c r="F190"/>
  <c r="F189" s="1"/>
  <c r="E190"/>
  <c r="D190"/>
  <c r="E189"/>
  <c r="G188"/>
  <c r="D188"/>
  <c r="G187"/>
  <c r="D187"/>
  <c r="I186"/>
  <c r="H186"/>
  <c r="G186"/>
  <c r="F186"/>
  <c r="E186"/>
  <c r="D186"/>
  <c r="G185"/>
  <c r="D185"/>
  <c r="G184"/>
  <c r="D184"/>
  <c r="G183"/>
  <c r="D183"/>
  <c r="I182"/>
  <c r="H182"/>
  <c r="G182"/>
  <c r="F182"/>
  <c r="E182"/>
  <c r="D182"/>
  <c r="G181"/>
  <c r="D181"/>
  <c r="I180"/>
  <c r="H180"/>
  <c r="G180"/>
  <c r="F180"/>
  <c r="E180"/>
  <c r="D180"/>
  <c r="G179"/>
  <c r="D179"/>
  <c r="I178"/>
  <c r="H178"/>
  <c r="G178"/>
  <c r="F178"/>
  <c r="E178"/>
  <c r="D178"/>
  <c r="G177"/>
  <c r="D177"/>
  <c r="I176"/>
  <c r="H176"/>
  <c r="G176"/>
  <c r="F176"/>
  <c r="E176"/>
  <c r="D176"/>
  <c r="G175"/>
  <c r="D175"/>
  <c r="I174"/>
  <c r="H174"/>
  <c r="G174"/>
  <c r="F174"/>
  <c r="E174"/>
  <c r="D174"/>
  <c r="G173"/>
  <c r="D173"/>
  <c r="I172"/>
  <c r="H172"/>
  <c r="G172"/>
  <c r="F172"/>
  <c r="E172"/>
  <c r="D172"/>
  <c r="I171"/>
  <c r="H171"/>
  <c r="G171"/>
  <c r="F171"/>
  <c r="E171"/>
  <c r="D171"/>
  <c r="G170"/>
  <c r="D170"/>
  <c r="G169"/>
  <c r="D169"/>
  <c r="I168"/>
  <c r="H168"/>
  <c r="G168"/>
  <c r="F168"/>
  <c r="E168"/>
  <c r="D168"/>
  <c r="G167"/>
  <c r="D167"/>
  <c r="G166"/>
  <c r="D166"/>
  <c r="I165"/>
  <c r="I164" s="1"/>
  <c r="H165"/>
  <c r="H164" s="1"/>
  <c r="G165"/>
  <c r="G164" s="1"/>
  <c r="F165"/>
  <c r="F164" s="1"/>
  <c r="E165"/>
  <c r="E164" s="1"/>
  <c r="D165"/>
  <c r="D164" s="1"/>
  <c r="G163"/>
  <c r="D163"/>
  <c r="I162"/>
  <c r="H162"/>
  <c r="G162"/>
  <c r="F162"/>
  <c r="E162"/>
  <c r="D162"/>
  <c r="I161"/>
  <c r="H161"/>
  <c r="G161"/>
  <c r="F161"/>
  <c r="E161"/>
  <c r="D161"/>
  <c r="G157"/>
  <c r="D157"/>
  <c r="G156"/>
  <c r="G155" s="1"/>
  <c r="D156"/>
  <c r="D155" s="1"/>
  <c r="G154"/>
  <c r="D154"/>
  <c r="G153"/>
  <c r="D153"/>
  <c r="G150"/>
  <c r="D150"/>
  <c r="I149"/>
  <c r="H149"/>
  <c r="G149"/>
  <c r="F149"/>
  <c r="E149"/>
  <c r="D149"/>
  <c r="G148"/>
  <c r="D148"/>
  <c r="G147"/>
  <c r="D147"/>
  <c r="I146"/>
  <c r="H146"/>
  <c r="G146"/>
  <c r="F146"/>
  <c r="E146"/>
  <c r="D146"/>
  <c r="G145"/>
  <c r="D145"/>
  <c r="G144"/>
  <c r="D144"/>
  <c r="I143"/>
  <c r="H143"/>
  <c r="G143"/>
  <c r="F143"/>
  <c r="E143"/>
  <c r="D143"/>
  <c r="G142"/>
  <c r="D142"/>
  <c r="G141"/>
  <c r="D141"/>
  <c r="I140"/>
  <c r="H140"/>
  <c r="G140"/>
  <c r="F140"/>
  <c r="E140"/>
  <c r="D140"/>
  <c r="G139"/>
  <c r="D139"/>
  <c r="G138"/>
  <c r="D138"/>
  <c r="I137"/>
  <c r="H137"/>
  <c r="G137"/>
  <c r="F137"/>
  <c r="E137"/>
  <c r="D137"/>
  <c r="G136"/>
  <c r="D136"/>
  <c r="G135"/>
  <c r="D135"/>
  <c r="I134"/>
  <c r="H134"/>
  <c r="G134"/>
  <c r="F134"/>
  <c r="E134"/>
  <c r="D134"/>
  <c r="I133"/>
  <c r="I130" s="1"/>
  <c r="H133"/>
  <c r="H130" s="1"/>
  <c r="G133"/>
  <c r="F133"/>
  <c r="F130" s="1"/>
  <c r="E133"/>
  <c r="E130" s="1"/>
  <c r="D133"/>
  <c r="D130" s="1"/>
  <c r="G129"/>
  <c r="D129"/>
  <c r="G128"/>
  <c r="D128"/>
  <c r="G127"/>
  <c r="D127"/>
  <c r="I126"/>
  <c r="H126"/>
  <c r="G126"/>
  <c r="F126"/>
  <c r="E126"/>
  <c r="D126"/>
  <c r="I125"/>
  <c r="H125"/>
  <c r="G125"/>
  <c r="F125"/>
  <c r="E125"/>
  <c r="D125"/>
  <c r="G124"/>
  <c r="D124"/>
  <c r="I123"/>
  <c r="H123"/>
  <c r="G123"/>
  <c r="F123"/>
  <c r="E123"/>
  <c r="D123"/>
  <c r="G122"/>
  <c r="D122"/>
  <c r="I121"/>
  <c r="H121"/>
  <c r="G121"/>
  <c r="F121"/>
  <c r="E121"/>
  <c r="D121"/>
  <c r="G120"/>
  <c r="D120"/>
  <c r="I119"/>
  <c r="H119"/>
  <c r="G119"/>
  <c r="F119"/>
  <c r="E119"/>
  <c r="D119"/>
  <c r="G118"/>
  <c r="D118"/>
  <c r="G117"/>
  <c r="D117"/>
  <c r="I116"/>
  <c r="H116"/>
  <c r="G116"/>
  <c r="F116"/>
  <c r="E116"/>
  <c r="D116"/>
  <c r="G115"/>
  <c r="G114" s="1"/>
  <c r="D115"/>
  <c r="H114"/>
  <c r="F114"/>
  <c r="E114"/>
  <c r="D114"/>
  <c r="G113"/>
  <c r="D113"/>
  <c r="I112"/>
  <c r="H112"/>
  <c r="G112"/>
  <c r="F112"/>
  <c r="E112"/>
  <c r="D112"/>
  <c r="I111"/>
  <c r="F111"/>
  <c r="E111"/>
  <c r="D111"/>
  <c r="G109"/>
  <c r="D109"/>
  <c r="G107"/>
  <c r="D107"/>
  <c r="G105"/>
  <c r="D105"/>
  <c r="G104"/>
  <c r="D104"/>
  <c r="G102"/>
  <c r="D102"/>
  <c r="G101"/>
  <c r="D101"/>
  <c r="G100"/>
  <c r="D100"/>
  <c r="G99"/>
  <c r="D99"/>
  <c r="G98"/>
  <c r="G97" s="1"/>
  <c r="D98"/>
  <c r="D97" s="1"/>
  <c r="D96" s="1"/>
  <c r="I96"/>
  <c r="H96"/>
  <c r="G96"/>
  <c r="F96"/>
  <c r="E96"/>
  <c r="G95"/>
  <c r="D95"/>
  <c r="I94"/>
  <c r="I93" s="1"/>
  <c r="H94"/>
  <c r="H93" s="1"/>
  <c r="G94"/>
  <c r="G93" s="1"/>
  <c r="F94"/>
  <c r="F93" s="1"/>
  <c r="E94"/>
  <c r="E93" s="1"/>
  <c r="D94"/>
  <c r="D93" s="1"/>
  <c r="G92"/>
  <c r="D92"/>
  <c r="I91"/>
  <c r="H91"/>
  <c r="G91"/>
  <c r="F91"/>
  <c r="E91"/>
  <c r="D91"/>
  <c r="G90"/>
  <c r="D90"/>
  <c r="G89"/>
  <c r="D89"/>
  <c r="I88"/>
  <c r="H88"/>
  <c r="G88"/>
  <c r="F88"/>
  <c r="E88"/>
  <c r="D88"/>
  <c r="G87"/>
  <c r="D87"/>
  <c r="G86"/>
  <c r="D86"/>
  <c r="I85"/>
  <c r="H85"/>
  <c r="G85"/>
  <c r="F85"/>
  <c r="E85"/>
  <c r="D85"/>
  <c r="G84"/>
  <c r="D84"/>
  <c r="G83"/>
  <c r="D83"/>
  <c r="G82"/>
  <c r="D82"/>
  <c r="I81"/>
  <c r="H81"/>
  <c r="G81"/>
  <c r="F81"/>
  <c r="E81"/>
  <c r="D81"/>
  <c r="G79"/>
  <c r="D79"/>
  <c r="G78"/>
  <c r="G77" s="1"/>
  <c r="D78"/>
  <c r="D77" s="1"/>
  <c r="G74"/>
  <c r="G73" s="1"/>
  <c r="D74"/>
  <c r="D73" s="1"/>
  <c r="G72"/>
  <c r="D72"/>
  <c r="G71"/>
  <c r="D71"/>
  <c r="G70"/>
  <c r="G68" s="1"/>
  <c r="D70"/>
  <c r="D69"/>
  <c r="I68"/>
  <c r="H68"/>
  <c r="F68"/>
  <c r="F67" s="1"/>
  <c r="E68"/>
  <c r="E67" s="1"/>
  <c r="G66"/>
  <c r="D66"/>
  <c r="G65"/>
  <c r="G64" s="1"/>
  <c r="D65"/>
  <c r="D64" s="1"/>
  <c r="D63" s="1"/>
  <c r="G59"/>
  <c r="D59"/>
  <c r="G58"/>
  <c r="D58"/>
  <c r="I57"/>
  <c r="H57"/>
  <c r="G57"/>
  <c r="F57"/>
  <c r="E57"/>
  <c r="D57"/>
  <c r="G56"/>
  <c r="D56"/>
  <c r="G55"/>
  <c r="D55"/>
  <c r="G54"/>
  <c r="D54"/>
  <c r="G53"/>
  <c r="D53"/>
  <c r="G52"/>
  <c r="D52"/>
  <c r="I51"/>
  <c r="I50" s="1"/>
  <c r="H51"/>
  <c r="H50" s="1"/>
  <c r="G51"/>
  <c r="G50" s="1"/>
  <c r="F51"/>
  <c r="F50" s="1"/>
  <c r="E51"/>
  <c r="E50" s="1"/>
  <c r="D51"/>
  <c r="D50" s="1"/>
  <c r="G49"/>
  <c r="D49"/>
  <c r="G47"/>
  <c r="D47"/>
  <c r="I46"/>
  <c r="H46"/>
  <c r="G46"/>
  <c r="G45" s="1"/>
  <c r="F46"/>
  <c r="F45" s="1"/>
  <c r="E46"/>
  <c r="D46"/>
  <c r="D45" s="1"/>
  <c r="I45"/>
  <c r="H45"/>
  <c r="E45"/>
  <c r="G44"/>
  <c r="D44"/>
  <c r="G43"/>
  <c r="D43"/>
  <c r="I42"/>
  <c r="H42"/>
  <c r="G42"/>
  <c r="F42"/>
  <c r="E42"/>
  <c r="D42"/>
  <c r="G41"/>
  <c r="D41"/>
  <c r="G40"/>
  <c r="D40"/>
  <c r="G39"/>
  <c r="D39"/>
  <c r="G38"/>
  <c r="D38"/>
  <c r="G37"/>
  <c r="D37"/>
  <c r="I36"/>
  <c r="H36"/>
  <c r="G36"/>
  <c r="F36"/>
  <c r="E36"/>
  <c r="D36"/>
  <c r="G35"/>
  <c r="D35"/>
  <c r="G34"/>
  <c r="D34"/>
  <c r="G33"/>
  <c r="D33"/>
  <c r="G32"/>
  <c r="G31" s="1"/>
  <c r="I31"/>
  <c r="H31"/>
  <c r="F31"/>
  <c r="E31"/>
  <c r="D31"/>
  <c r="G30"/>
  <c r="D30"/>
  <c r="G29"/>
  <c r="D29"/>
  <c r="I28"/>
  <c r="H28"/>
  <c r="G28"/>
  <c r="F28"/>
  <c r="E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I17"/>
  <c r="H17"/>
  <c r="G17"/>
  <c r="F17"/>
  <c r="E17"/>
  <c r="D17"/>
  <c r="G16"/>
  <c r="D16"/>
  <c r="I15"/>
  <c r="H15"/>
  <c r="G15"/>
  <c r="F15"/>
  <c r="E15"/>
  <c r="D15"/>
  <c r="G14"/>
  <c r="D14"/>
  <c r="I13"/>
  <c r="H13"/>
  <c r="G13"/>
  <c r="E13"/>
  <c r="G12"/>
  <c r="D12"/>
  <c r="D11" s="1"/>
  <c r="I11"/>
  <c r="I10" s="1"/>
  <c r="H11"/>
  <c r="H10" s="1"/>
  <c r="G11"/>
  <c r="F11"/>
  <c r="E11"/>
  <c r="F10"/>
  <c r="I67" l="1"/>
  <c r="J164"/>
  <c r="H67"/>
  <c r="J105"/>
  <c r="J107"/>
  <c r="J109"/>
  <c r="H111"/>
  <c r="J228"/>
  <c r="J33"/>
  <c r="J154"/>
  <c r="D209"/>
  <c r="G209"/>
  <c r="D324"/>
  <c r="G336"/>
  <c r="J336" s="1"/>
  <c r="J339"/>
  <c r="J71"/>
  <c r="J72"/>
  <c r="J215"/>
  <c r="J216"/>
  <c r="J217"/>
  <c r="J218"/>
  <c r="J273"/>
  <c r="J340"/>
  <c r="J341"/>
  <c r="G130"/>
  <c r="J317"/>
  <c r="I285"/>
  <c r="H285"/>
  <c r="F285"/>
  <c r="E285"/>
  <c r="D300"/>
  <c r="J300" s="1"/>
  <c r="J302"/>
  <c r="D285"/>
  <c r="F235"/>
  <c r="J248"/>
  <c r="D224"/>
  <c r="J220"/>
  <c r="J221"/>
  <c r="G67"/>
  <c r="H343"/>
  <c r="D68"/>
  <c r="D67" s="1"/>
  <c r="J64"/>
  <c r="G63"/>
  <c r="J63" s="1"/>
  <c r="J169"/>
  <c r="I235"/>
  <c r="I189"/>
  <c r="F343"/>
  <c r="G307"/>
  <c r="G10"/>
  <c r="E10"/>
  <c r="E343" s="1"/>
  <c r="J335"/>
  <c r="J333"/>
  <c r="J332"/>
  <c r="J334"/>
  <c r="J330"/>
  <c r="J331"/>
  <c r="J329"/>
  <c r="J327"/>
  <c r="J324"/>
  <c r="J326"/>
  <c r="J325"/>
  <c r="J323"/>
  <c r="I306"/>
  <c r="J322"/>
  <c r="J319"/>
  <c r="J318"/>
  <c r="J316"/>
  <c r="J313"/>
  <c r="J311"/>
  <c r="J309"/>
  <c r="J304"/>
  <c r="J299"/>
  <c r="J295"/>
  <c r="J293"/>
  <c r="J292"/>
  <c r="J291"/>
  <c r="J288"/>
  <c r="J287"/>
  <c r="J284"/>
  <c r="J283"/>
  <c r="J281"/>
  <c r="J282"/>
  <c r="J280"/>
  <c r="J279"/>
  <c r="J276"/>
  <c r="J277"/>
  <c r="J278"/>
  <c r="J272"/>
  <c r="J275"/>
  <c r="J274"/>
  <c r="J270"/>
  <c r="J271"/>
  <c r="J265"/>
  <c r="J264"/>
  <c r="J263"/>
  <c r="J262"/>
  <c r="J261"/>
  <c r="J260"/>
  <c r="J255"/>
  <c r="J258"/>
  <c r="J259"/>
  <c r="J254"/>
  <c r="J253"/>
  <c r="J251"/>
  <c r="J252"/>
  <c r="J249"/>
  <c r="J250"/>
  <c r="J246"/>
  <c r="J247"/>
  <c r="J245"/>
  <c r="J243"/>
  <c r="J244"/>
  <c r="J237"/>
  <c r="J238"/>
  <c r="J236"/>
  <c r="D235"/>
  <c r="J235" s="1"/>
  <c r="J233"/>
  <c r="J234"/>
  <c r="J229"/>
  <c r="J210"/>
  <c r="J209"/>
  <c r="J211"/>
  <c r="G189"/>
  <c r="J208"/>
  <c r="J206"/>
  <c r="J207"/>
  <c r="J201"/>
  <c r="J202"/>
  <c r="D200"/>
  <c r="D189" s="1"/>
  <c r="J203"/>
  <c r="J205"/>
  <c r="J204"/>
  <c r="J199"/>
  <c r="J197"/>
  <c r="J198"/>
  <c r="J195"/>
  <c r="J196"/>
  <c r="J194"/>
  <c r="J193"/>
  <c r="J192"/>
  <c r="J190"/>
  <c r="J191"/>
  <c r="J188"/>
  <c r="J186"/>
  <c r="J187"/>
  <c r="J185"/>
  <c r="J184"/>
  <c r="J182"/>
  <c r="J183"/>
  <c r="J180"/>
  <c r="J181"/>
  <c r="J178"/>
  <c r="J179"/>
  <c r="J176"/>
  <c r="J177"/>
  <c r="J174"/>
  <c r="J175"/>
  <c r="J171"/>
  <c r="J172"/>
  <c r="J173"/>
  <c r="J168"/>
  <c r="J170"/>
  <c r="J166"/>
  <c r="J165"/>
  <c r="J167"/>
  <c r="J161"/>
  <c r="J162"/>
  <c r="J163"/>
  <c r="J155"/>
  <c r="J157"/>
  <c r="J156"/>
  <c r="J149"/>
  <c r="J150"/>
  <c r="J148"/>
  <c r="J146"/>
  <c r="J147"/>
  <c r="J145"/>
  <c r="J143"/>
  <c r="J144"/>
  <c r="J140"/>
  <c r="J142"/>
  <c r="J141"/>
  <c r="J139"/>
  <c r="J137"/>
  <c r="J135"/>
  <c r="J133"/>
  <c r="J134"/>
  <c r="J136"/>
  <c r="J128"/>
  <c r="J125"/>
  <c r="J126"/>
  <c r="J127"/>
  <c r="J129"/>
  <c r="J123"/>
  <c r="J124"/>
  <c r="J121"/>
  <c r="J122"/>
  <c r="J119"/>
  <c r="J120"/>
  <c r="J118"/>
  <c r="J116"/>
  <c r="J117"/>
  <c r="J114"/>
  <c r="G111"/>
  <c r="J111" s="1"/>
  <c r="J115"/>
  <c r="J112"/>
  <c r="J113"/>
  <c r="J101"/>
  <c r="J99"/>
  <c r="J96"/>
  <c r="J97"/>
  <c r="J98"/>
  <c r="J93"/>
  <c r="J94"/>
  <c r="J95"/>
  <c r="J90"/>
  <c r="J88"/>
  <c r="J89"/>
  <c r="J87"/>
  <c r="J85"/>
  <c r="J86"/>
  <c r="J84"/>
  <c r="J82"/>
  <c r="J83"/>
  <c r="J81"/>
  <c r="J78"/>
  <c r="J77"/>
  <c r="J74"/>
  <c r="J73"/>
  <c r="J70"/>
  <c r="J67"/>
  <c r="J68"/>
  <c r="J69"/>
  <c r="J65"/>
  <c r="J66"/>
  <c r="J59"/>
  <c r="J57"/>
  <c r="J58"/>
  <c r="J52"/>
  <c r="J54"/>
  <c r="J56"/>
  <c r="J53"/>
  <c r="J55"/>
  <c r="J50"/>
  <c r="J51"/>
  <c r="J47"/>
  <c r="J49"/>
  <c r="J45"/>
  <c r="J46"/>
  <c r="J42"/>
  <c r="J44"/>
  <c r="J40"/>
  <c r="J38"/>
  <c r="J41"/>
  <c r="J39"/>
  <c r="J36"/>
  <c r="J37"/>
  <c r="J32"/>
  <c r="J35"/>
  <c r="J31"/>
  <c r="J30"/>
  <c r="J28"/>
  <c r="J29"/>
  <c r="J26"/>
  <c r="J24"/>
  <c r="J27"/>
  <c r="J25"/>
  <c r="J23"/>
  <c r="J21"/>
  <c r="J22"/>
  <c r="J20"/>
  <c r="J19"/>
  <c r="J18"/>
  <c r="J17"/>
  <c r="J15"/>
  <c r="J16"/>
  <c r="J14"/>
  <c r="D13"/>
  <c r="D10" s="1"/>
  <c r="J10" s="1"/>
  <c r="J11"/>
  <c r="J12"/>
  <c r="G286"/>
  <c r="J294"/>
  <c r="G298"/>
  <c r="J298" s="1"/>
  <c r="J303"/>
  <c r="D307"/>
  <c r="G310"/>
  <c r="J312"/>
  <c r="G315"/>
  <c r="J315" s="1"/>
  <c r="D321"/>
  <c r="J321" s="1"/>
  <c r="J189" l="1"/>
  <c r="G285"/>
  <c r="J285" s="1"/>
  <c r="I343"/>
  <c r="D219"/>
  <c r="J200"/>
  <c r="J13"/>
  <c r="J286"/>
  <c r="D306"/>
  <c r="J307"/>
  <c r="J310"/>
  <c r="G306"/>
  <c r="G343" l="1"/>
  <c r="D343"/>
  <c r="J219"/>
  <c r="J306"/>
  <c r="J343" l="1"/>
</calcChain>
</file>

<file path=xl/sharedStrings.xml><?xml version="1.0" encoding="utf-8"?>
<sst xmlns="http://schemas.openxmlformats.org/spreadsheetml/2006/main" count="732" uniqueCount="461">
  <si>
    <t>w złotych</t>
  </si>
  <si>
    <t>Dział</t>
  </si>
  <si>
    <t>Rozdział</t>
  </si>
  <si>
    <t>Plan po zmianach</t>
  </si>
  <si>
    <t>Wykonanie</t>
  </si>
  <si>
    <t>1.</t>
  </si>
  <si>
    <t>2.</t>
  </si>
  <si>
    <t>3.</t>
  </si>
  <si>
    <t>4.</t>
  </si>
  <si>
    <t>5.</t>
  </si>
  <si>
    <t>6.</t>
  </si>
  <si>
    <t>010</t>
  </si>
  <si>
    <t>01005</t>
  </si>
  <si>
    <t>Prace geodezyjno-urządzeniowe na potrzeby rolnictwa</t>
  </si>
  <si>
    <t>01008</t>
  </si>
  <si>
    <t>Melioracje wodne</t>
  </si>
  <si>
    <t>01041</t>
  </si>
  <si>
    <t>Program Rozwoju Obszarów Wiejskich 2007-2013</t>
  </si>
  <si>
    <t>01078</t>
  </si>
  <si>
    <t>Usuwanie skutków klęsk żywiołowych</t>
  </si>
  <si>
    <t>Krajowe pasażerskie przewozy autobusowe</t>
  </si>
  <si>
    <t>Ośrodki dokumentacji geodezyjnej i kartograficznej</t>
  </si>
  <si>
    <t>Pozostała działalność</t>
  </si>
  <si>
    <t>Urzędy wojewódzkie</t>
  </si>
  <si>
    <t>Komisje egzaminacyjne</t>
  </si>
  <si>
    <t>Ratownictwo medyczne</t>
  </si>
  <si>
    <t>Świadczenia rodzinne, świadczenie z funduszu alimentacyjnego oraz składki na ubezpieczenia emerytalne i rentowe z ubezpieczenia społecznego</t>
  </si>
  <si>
    <t>Wojewódzkie urzędy pracy</t>
  </si>
  <si>
    <t>OGÓŁEM</t>
  </si>
  <si>
    <t>z tego:</t>
  </si>
  <si>
    <t>w tym:</t>
  </si>
  <si>
    <t>w tym na:</t>
  </si>
  <si>
    <t>7.</t>
  </si>
  <si>
    <t>8.</t>
  </si>
  <si>
    <t>9.</t>
  </si>
  <si>
    <t>10.</t>
  </si>
  <si>
    <t>01095</t>
  </si>
  <si>
    <t>Prace geologiczne (nieinwestycyjne)</t>
  </si>
  <si>
    <t>Pozostałe wydatki obronne</t>
  </si>
  <si>
    <t>Ośrodki adopcyjno-opiekuńcze</t>
  </si>
  <si>
    <t>Zestawienie wykonania dochodów województwa 
(wg działów, rozdziałów, źródeł pochodzenia i rodzajów dochodów)</t>
  </si>
  <si>
    <t>Źródło pochodzenia</t>
  </si>
  <si>
    <t>Ogółem 
w dziale/
w rozdziale/
wg źródła</t>
  </si>
  <si>
    <t>% wykonania 
(7:4)</t>
  </si>
  <si>
    <t>dochody bieżące</t>
  </si>
  <si>
    <t>dochody majątkowe</t>
  </si>
  <si>
    <t>ROLNICTWO I ŁOWIECTWO</t>
  </si>
  <si>
    <t>01004</t>
  </si>
  <si>
    <t>Biura geodezji i terenów rolnych</t>
  </si>
  <si>
    <t>Dochody realizowane przez Biuro Geodezji i Terenów Rolnych w Rzeszowie</t>
  </si>
  <si>
    <t xml:space="preserve">Dotacje celowe otrzymane z budżetu państwa na zadania bieżące z zakresu administracji rządowej oraz inne zadania zlecone ustawami realizowane przez samorząd województwa </t>
  </si>
  <si>
    <t>01006</t>
  </si>
  <si>
    <t>Zarządy melioracji i urządzeń wodnych</t>
  </si>
  <si>
    <t>Dochody realizowane przez Podkarpacki Zarząd Melioracji i Urządzeń Wodnych w Rzeszowie</t>
  </si>
  <si>
    <t>5% dochodów uzyskiwanych na rzecz budżetu państwa w związku z realizacją zadań z zakresu administracji rządowej oraz innych zadań zleconych ustawami</t>
  </si>
  <si>
    <t>Dotacje celowe otrzymane z budżetu państwa na  zadania z zakresu administracji rządowej oraz inne zadania zlecone ustawami realizowane przez samorząd województwa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</si>
  <si>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</t>
  </si>
  <si>
    <t xml:space="preserve">Środki pochodzące z budżetu Unii Europejskiej na realizację inwestycji melioracyjnych w ramach Programu Operacyjnego Infrastruktura i Środowisko </t>
  </si>
  <si>
    <t>Dotacja celowa z budżetu państwa na realizację inwestycji melioracyjnych w ramach Programu Operacyjnego Infrastruktura i Środowisko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</si>
  <si>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Programu Operacyjnego Infrastruktura i Środowisko </t>
  </si>
  <si>
    <t>Środki pochodzące z budżetu Unii Europejskiej na realizację inwestycji melioracyjnych w ramach Programu Rozwoju Obszarów Wiejskich</t>
  </si>
  <si>
    <t xml:space="preserve">Dotacja celowa z budżetu państwa na realizację inwestycji melioracyjnych w ramach Programu Rozwoju Obszarów Wiejskich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</si>
  <si>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</t>
  </si>
  <si>
    <t>Dotacje celowe otrzymane z budżetu państwa na zadania z zakresu administracji rządowej oraz inne zadania zlecone ustawami realizowane przez samorząd województwa -  na finansowanie zadań objętych Pomocą Techniczną w ramach Programu Rozwoju Obszarów Wiejskich</t>
  </si>
  <si>
    <t>Dotacje celowe otrzymane z budżetu państwa na zadania z zakresu administracji rządowej oraz inne zadania zlecone ustawami realizowane przez samorząd województwa -  na współfinansowanie zadań objętych Pomocą Techniczną w ramach Programu Rozwoju Obszarów Wiejskich</t>
  </si>
  <si>
    <t>01042</t>
  </si>
  <si>
    <t>Wyłączenie z produkcji gruntów rolnych</t>
  </si>
  <si>
    <t>Wpływy z tytułu opłat za wyłączenie z produkcji gruntów rolnych</t>
  </si>
  <si>
    <t>Odsetki z tytułu nieterminowej wpłaty opłat za wyłączenie z produkcji gruntów rolnych</t>
  </si>
  <si>
    <t xml:space="preserve">Zwrot kosztów wysłanych upomnień dotyczących dokonania opłat za wyłączenie z produkcji gruntów rolnych </t>
  </si>
  <si>
    <t>Zwrot dotacji wykorzystanych niezgodnie z przeznaczeniem, pobranych nienależnie lub w nadmiernej wysokości na remont dróg dojazdowych do gruntów rolnych przez Gminę Jedlicze i Gminę Lesko</t>
  </si>
  <si>
    <t>Dotacje celowe otrzymane z budżetu państwa na zadania z zakresu administracji rządowej oraz inne zadania zlecone ustawami realizowane przez samorząd województwa</t>
  </si>
  <si>
    <t>Środki Funduszu Solidarności Unii Europejskiej z przeznaczeniem na usuwanie skutków klęsk żywiołowych powstałych w maju i czerwcu 2010 roku</t>
  </si>
  <si>
    <t>Dotacja otrzymana z Wojewódzkiego Funduszu Ochrony Środowiska i Gospodarki Wodnej</t>
  </si>
  <si>
    <t>Dotacja celowa z budżetu państwa na współfinansowanie inwestycji melioracyjnych w ramach Regionalnego Programu Operacyjnego Województwa Podkarpackiego</t>
  </si>
  <si>
    <t>Zwrot zaliczki od komornika sądowego za prowadzone postępowanie egzekucyjne dotyczące opłat za wyłączenie z produkcji gruntów rolnych</t>
  </si>
  <si>
    <t>050</t>
  </si>
  <si>
    <t>RYBOŁÓWSTWO I RYBACTWO</t>
  </si>
  <si>
    <t>05011</t>
  </si>
  <si>
    <t>Program Operacyjny Zrównoważony rozwój sektora rybołówstwa i nadbrzeżnych obszarów rybackich 2007-2013</t>
  </si>
  <si>
    <t>Dotacja celowa z budżetu państwa na finansowanie wydatków objętych Pomocą Techniczną  Programu Operacyjnego Zrównoważony rozwój sektora rybołówstwa i nadbrzeżnych obszarów rybackich</t>
  </si>
  <si>
    <t>Dotacja celowa z budżetu państwa na współfinansowanie wydatków objętych Pomocą Techniczną Programu Operacyjnego Zrównoważony rozwój sektora rybołówstwa i nadbrzeżnych obszarów rybackich</t>
  </si>
  <si>
    <t>150</t>
  </si>
  <si>
    <t>PRZETWÓRSTWO PRZEMYSŁOWE</t>
  </si>
  <si>
    <t>15011</t>
  </si>
  <si>
    <t>Rozwój przedsiębiorczości</t>
  </si>
  <si>
    <t>Zwrot dotacji wykorzystanych niezgodnie z przeznaczeniem, pobranych nienależnie lub w nadmiernej wysokości przez beneficjentów projektów realizowanych w ramach Programu Operacyjnego Kapitał Ludzki</t>
  </si>
  <si>
    <t>Zwrot dotacji wykorzystanych niezgodnie z przeznaczeniem, pobranych nienależnie lub w nadmiernej wysokości przez beneficjentów projektów realizowanych w ramach Regionalnego Programu Operacyjnego Województwa Podkarpackiego</t>
  </si>
  <si>
    <t>Zwrot odsetek od dotacji wykorzystanych niezgodnie z przeznaczeniem, pobranych nienależnie lub w nadmiernej wysokości przez beneficjentów projektów realizowanych w ramach Regionalnego Programu Operacyjnego Województwa Podkarpackiego</t>
  </si>
  <si>
    <t>Wpływ środków stanowiących przychód na projektach realizowanych w ramach Programu Operacyjnego Kapitał Ludzki</t>
  </si>
  <si>
    <t>15013</t>
  </si>
  <si>
    <t>Rozwój kadr nowoczesnej gospodarki i przedsiębiorczości</t>
  </si>
  <si>
    <t>500</t>
  </si>
  <si>
    <t>HANDEL</t>
  </si>
  <si>
    <t>50005</t>
  </si>
  <si>
    <t>Promocja eksportu</t>
  </si>
  <si>
    <t>Środki pochodzące z budżetu Unii Europejskiej na realizację projektu pn. Sieć Centrów Obsługi Inwestorów i Eksporterów (COIE) w ramach Programu Operacyjnego Innowacyjna Gospodarka</t>
  </si>
  <si>
    <t>Dotacja celowa z budżetu państwa na realizację projektu pn. Sieć Centrów Obsługi Inwestorów i Eksporterów (COIE) w ramach Programu Operacyjnego Innowacyjna Gospodarka</t>
  </si>
  <si>
    <t>600</t>
  </si>
  <si>
    <t xml:space="preserve">TRANSPORT I ŁĄCZNOŚĆ </t>
  </si>
  <si>
    <t>60001</t>
  </si>
  <si>
    <t>Krajowe pasażerskie przewozy kolejowe</t>
  </si>
  <si>
    <t>Dotacja z Funduszu Kolejowego</t>
  </si>
  <si>
    <t>Odszkodowania od ubezpieczyciela obejmujące zwrot kosztów napraw autobusów szynowych</t>
  </si>
  <si>
    <t>60003</t>
  </si>
  <si>
    <t>60004</t>
  </si>
  <si>
    <t>Lokalny transport zbiorowy</t>
  </si>
  <si>
    <t>Opłaty za wydawanie zezwoleń na regularny przewóz osób w krajowym transporcie drogowym</t>
  </si>
  <si>
    <t>Zwrot nadpłaconych wydatków na wykonywanie analiz sytuacji rynkowej w zakresie regularnego przewozu osób w krajowym transporcie drogowym</t>
  </si>
  <si>
    <t>60013</t>
  </si>
  <si>
    <t>Drogi publiczne wojewódzkie</t>
  </si>
  <si>
    <t>Dochody realizowane przez Podkarpacki Zarząd Dróg Wojewódzkich w Rzeszowie</t>
  </si>
  <si>
    <t xml:space="preserve">Środki pochodzące z budżetu Unii Europejskiej na realizację inwestycji drogowych w ramach Programu Operacyjnego Rozwój Polski Wschodniej </t>
  </si>
  <si>
    <t>Wpływy z tytułu pomocy finansowej udzielanej między jednostkami samorządu terytorialnego na dofinansowanie zadań  własnych</t>
  </si>
  <si>
    <t>60016</t>
  </si>
  <si>
    <t>Drogi publiczne gminne</t>
  </si>
  <si>
    <t>60078</t>
  </si>
  <si>
    <t>Dotacje celowe otrzymane z budżetu państwa na realizację zadań własnych samorządu województwa</t>
  </si>
  <si>
    <t>60095</t>
  </si>
  <si>
    <t>630</t>
  </si>
  <si>
    <t>TURYSTYKA</t>
  </si>
  <si>
    <t>63095</t>
  </si>
  <si>
    <t>Środki pochodzące z budżetu Unii Europejskiej na realizację projektu "Trasy rowerowe w Polsce Wschodniej" w ramach Programu Operacyjnego Rozwój Polski Wschodniej</t>
  </si>
  <si>
    <t>700</t>
  </si>
  <si>
    <t>GOSPODARKA MIESZKANIOWA</t>
  </si>
  <si>
    <t>70005</t>
  </si>
  <si>
    <t>Gospodarka gruntami i nieruchomościami</t>
  </si>
  <si>
    <t>Opłaty za zarząd i wieczyste użytkowanie</t>
  </si>
  <si>
    <t>Dochody z najmu i dzierżawy składników majątkowych</t>
  </si>
  <si>
    <t>Wpływy z tytułu służebności przejazdu i przechodu na działkach położonych w Jasionce</t>
  </si>
  <si>
    <t>Dochody ze sprzedaży mienia będącego w zasobie Województwa</t>
  </si>
  <si>
    <t>Wpłata z tytułu zwrotu wywłaszczonej nieruchomości</t>
  </si>
  <si>
    <t>Odsetki od nieterminowych wpłat za dzierżawę, wieczyste użytkowanie nieruchomości stanowiących własność Województwa Podkarpackiego</t>
  </si>
  <si>
    <t>Wpływ z tytułu ugody w sprawie spłaty wierzytelności czynszowych wynikających z użytkowania lokalu mieszkalnego położonego w Przemyślu przy ul. Monte Casino</t>
  </si>
  <si>
    <t>Odszkodowania za nieruchomości</t>
  </si>
  <si>
    <t>Refundacja za media, rozliczenie podatku od nieruchomości, zwrot kosztów postępowania sądowego i procesowego, rozliczenie kaucji mieszkaniowych oraz zaliczki dla komornika za prowadzone egzekucje wobec zadłużonych najemców</t>
  </si>
  <si>
    <t>710</t>
  </si>
  <si>
    <t>DZIAŁALNOŚĆ USŁUGOWA</t>
  </si>
  <si>
    <t>71003</t>
  </si>
  <si>
    <t>Biura planowania przestrzennego</t>
  </si>
  <si>
    <t xml:space="preserve">Dochody realizowane przez Podkarpackie Biuro Planowania Przestrzennego w Rzeszowie </t>
  </si>
  <si>
    <t>71005</t>
  </si>
  <si>
    <t xml:space="preserve">Dotacje celowe otrzymane z budżetu państwa na zadania  z zakresu administracji rządowej oraz inne zadania zlecone ustawami realizowane przez samorząd województwa </t>
  </si>
  <si>
    <t>71012</t>
  </si>
  <si>
    <t>Dochody realizowane przez Ośrodek Dokumentacji Geodezyjnej i Kartograficznej w Rzeszowie</t>
  </si>
  <si>
    <t>71013</t>
  </si>
  <si>
    <t>Prace geodezyjne i kartograficzne  (nieinwestycyjne)</t>
  </si>
  <si>
    <t>71078</t>
  </si>
  <si>
    <t>71095</t>
  </si>
  <si>
    <t>720</t>
  </si>
  <si>
    <t>INFORMATYKA</t>
  </si>
  <si>
    <t>72095</t>
  </si>
  <si>
    <t>Środki pochodzące z budżetu Unii Europejskiej na realizację projektu "Sieć Szerokopasmowa Polski Wschodniej - Województwo Podkarpackie" w ramach Programu Operacyjnego Rozwój Polski Wschodniej</t>
  </si>
  <si>
    <t>Dotacja celowa z budżetu państwa na realizację projektu "Sieć Szerokopasmowa Polski Wschodniej - Województwo Podkarpackie" w ramach Programu Operacyjnego Rozwój Polski Wschodniej</t>
  </si>
  <si>
    <t>Zwrot podatku VAT z tytułu realizacji projektu "Sieć Szerokopasmowa Polski Wschodniej - Województwo Podkarpackie" w ramach Programu Operacyjnego Rozwój Polski Wschodniej</t>
  </si>
  <si>
    <t>750</t>
  </si>
  <si>
    <t>ADMINISTRACJA PUBLICZNA</t>
  </si>
  <si>
    <t>75001</t>
  </si>
  <si>
    <t>Urzędy naczelnych i centralnych organów administracji rządowej</t>
  </si>
  <si>
    <t>Środki pochodzące z budżetu Unii Europejskiej na realizację projektu pn."System Informacji o Funduszach Europejskich" w ramach Programu Operacyjnego Pomoc Techniczna</t>
  </si>
  <si>
    <t>Dotacja celowa z budżetu państwa na realizację projektu pn."System Informacji o Funduszach Europejskich" w ramach Programu Operacyjnego Pomoc Techniczna</t>
  </si>
  <si>
    <t>75011</t>
  </si>
  <si>
    <t>75018</t>
  </si>
  <si>
    <t>Urzędy marszałkowskie</t>
  </si>
  <si>
    <t>Dochody realizowane przez Urząd Marszałkowski Województwa Podkarpackiego</t>
  </si>
  <si>
    <t xml:space="preserve">Dotacje celowe otrzymane z budżetu państwa na realizację zadań własnych samorządu województwa </t>
  </si>
  <si>
    <t>Centrum Rozwoju Zasobów Ludzkich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</si>
  <si>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</si>
  <si>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</si>
  <si>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Promocja jednostek samorządu terytorialnego</t>
  </si>
  <si>
    <t>Zwrot dotacji wykorzystanych niezgodnie z przeznaczeniem, pobranych nienależnie lub w nadmiernej wysokości</t>
  </si>
  <si>
    <t>Dotacje celowe otrzymane z budżetu państwa na realizację zadań własnych samorządu</t>
  </si>
  <si>
    <t>OBRONA NARODOWA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</si>
  <si>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</si>
  <si>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</si>
  <si>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Opłaty za zezwolenia na hurtową sprzedaż alkoholu</t>
  </si>
  <si>
    <t xml:space="preserve">Dochody realizowane przez Wojewódzki Urząd Pracy w Rzeszowie </t>
  </si>
  <si>
    <t>Udziały województw w podatkach stanowiących dochód budżetu państwa</t>
  </si>
  <si>
    <t>Udział w podatku dochodowym od osób fizycznych</t>
  </si>
  <si>
    <t>Udział w podatku dochodowym od osób prawnych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</si>
  <si>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</si>
  <si>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</si>
  <si>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</si>
  <si>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</si>
  <si>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</si>
  <si>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</si>
  <si>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</si>
  <si>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</si>
  <si>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</si>
  <si>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Regionalne Programy Operacyjne 2007-2013</t>
  </si>
  <si>
    <t>Dotacja celowa z budżetu państwa na finansowanie wydatków objętych Pomocą Techniczną Regionalnego Programu Operacyjnego Województwa Podkarpackiego</t>
  </si>
  <si>
    <t>Dotacja celowa z budżetu państwa na współfinansowanie projektów w ramach Regionalnego Programu Operacyjnego Województwa Podkarpackiego</t>
  </si>
  <si>
    <t>Środki pochodzące z budżetu Unii Europejskiej na realizację projektów własnych w ramach Regionalnego Programu Operacyjnego Województwa Podkarpackiego</t>
  </si>
  <si>
    <t>Program Operacyjny Kapitał Ludzki</t>
  </si>
  <si>
    <t>Dotacja celowa z budżetu państwa na współfinansowanie projektów w ramach Programu Operacyjnego Kapitał Ludzki</t>
  </si>
  <si>
    <t>Środki pochodzące z budżetu Unii Europejskiej na  realizację projektów własnych w ramach Programu Operacyjnego Kapitał Ludzki</t>
  </si>
  <si>
    <t>OŚWIATA I WYCHOWANIE</t>
  </si>
  <si>
    <t>Szkoły podstawowe specjalne</t>
  </si>
  <si>
    <t>Dochody uzyskiwane przez jednostki oświatowe</t>
  </si>
  <si>
    <t xml:space="preserve">Wpłata do budżetu niewykorzystanych środków finansowych gromadzonych na wydzielonym rachunku przez jednostki oświatowe </t>
  </si>
  <si>
    <t>Szkoły zawodowe</t>
  </si>
  <si>
    <t>Środki pochodzące z budżetu Unii Europejskiej na realizację projektu "Rewitalizacja otwartych przestrzeni rekreacyjnych miasta Jasła" w ramach Regionalnego Programu Operacyjnego Województwa Podkarpackiego</t>
  </si>
  <si>
    <t>Zakłady kształcenia nauczycieli</t>
  </si>
  <si>
    <t>Dokształcanie i doskonalenie nauczycieli</t>
  </si>
  <si>
    <t>Środki pochodzące z budżetu Unii Europejskiej na realizację projektu pn. "Szkoła Kluczowych Kompetencji. Program rozwijania umiejętności uczniów szkół Polski Wschodniej" w ramach Programu Operacyjnego Kapitał Ludzki</t>
  </si>
  <si>
    <t>Dotacja celowa z budżetu państwa na realizację projektu pn. "Szkoła Kluczowych Kompetencji. Program rozwijania umiejętności uczniów szkół Polski Wschodniej" w ramach Programu Operacyjnego Kapitał Ludzki</t>
  </si>
  <si>
    <t>Środki pochodzące z budżetu Unii Europejskiej na realizację projektu partnerskiego Comenius Regio w ramach Programu "Uczenie się przez całe życie"</t>
  </si>
  <si>
    <t>Dochody realizowane przez Podkarpackie Centrum Edukacji Nauczycieli w Rzeszowie</t>
  </si>
  <si>
    <t>Biblioteki pedagogiczne</t>
  </si>
  <si>
    <t>SZKOLNICTWO WYŻSZE</t>
  </si>
  <si>
    <t>Pomoc materialna dla studentów i doktorantów</t>
  </si>
  <si>
    <t>Zwrot środków z tytułu otrzymanego stypendium w ramach projektu pn. "Podkarpacki fundusz stypendialny dla doktorantów" w ramach Programu Operacyjnego Kapitał Ludzki</t>
  </si>
  <si>
    <t>OCHRONA ZDROWIA</t>
  </si>
  <si>
    <t>Szpitale ogólne</t>
  </si>
  <si>
    <t>Zwrot dotacji wykorzystanych niezgodnie z przeznaczeniem, pobranych nienależnie lub w nadmiernej wysokości przez samodzielne publiczne zakłady opieki zdrowotnej</t>
  </si>
  <si>
    <t>Lecznictwo psychiatryczne</t>
  </si>
  <si>
    <t>Lecznictwo ambulatoryjne</t>
  </si>
  <si>
    <t>Przeciwdziałanie alkoholizmowi</t>
  </si>
  <si>
    <t>Zwrot dotacji wykorzystanych niezgodnie z przeznaczeniem, pobranych nienależnie lub w nadmiernej wysokości na realizację zadań z zakresu przeciwdziałania alkoholizmowi</t>
  </si>
  <si>
    <t>Składki na ubezpieczenie zdrowotne oraz świadczenia dla osób nieobjętych obowiązkiem ubezpieczenia zdrowotnego</t>
  </si>
  <si>
    <t>POMOC SPOŁECZNA</t>
  </si>
  <si>
    <t xml:space="preserve">Zwrot kosztów upomnienia dotyczącego nienależnie pobranych świadczeń rodzinnych </t>
  </si>
  <si>
    <t>Regionalne ośrodki polityki społecznej</t>
  </si>
  <si>
    <t>Dochody realizowane przez Regionalny Ośrodek Polityki Społecznej w Rzeszowie</t>
  </si>
  <si>
    <t>Powiatowe centra pomocy rodzinie</t>
  </si>
  <si>
    <t>Ośrodki pomocy społecznej</t>
  </si>
  <si>
    <t>Środki pochodzące z budżetu Unii Europejskiej na realizację projektu pn. "Poprawa infrastruktury domów pomocy społecznej i/lub placówek opiekuńczo-wychowawczych oraz podnoszenie kwalifikacji personelu w tym również pielęgniarek i pielęgniarzy ww. instytucji" w ramach Szwajcarsko - Polskiego Programu Współpracy</t>
  </si>
  <si>
    <t>POZOSTAŁE ZADANIA W ZAKRESIE POLITYKI SPOŁECZNEJ</t>
  </si>
  <si>
    <t>Dochody realizowane przez Wojewódzki Urząd Pracy w Rzeszowie</t>
  </si>
  <si>
    <t>Środki z Funduszu Gwarantowanych Świadczeń Pracowniczych</t>
  </si>
  <si>
    <t>Dotacja celowa z budżetu państwa na finansowanie wydatków objętych Pomocą Techniczną Programu Operacyjnego Kapitał Ludzki</t>
  </si>
  <si>
    <t>Dotacja celowa z budżetu państwa na współfinansowanie wydatków objętych Pomocą Techniczną Programu Operacyjnego Kapitał Ludzki</t>
  </si>
  <si>
    <t>Zwrot dotacji wykorzystanych niezgodnie z przeznaczeniem, pobranych nienależnie lub w nadmiernej wysokości przez ROEFSy w ramach Pomocy Technicznej Programu Operacyjnego Kapitał Ludzki</t>
  </si>
  <si>
    <t>Zwrot nadpłaconych wydatków na realizację projektu własnego WUP w ramach Zintegrowanego Programu Operacyjnego Rozwoju Regionalnego</t>
  </si>
  <si>
    <t xml:space="preserve">Zwrot dotacji wykorzystanych niezgodnie z przeznaczeniem, pobranych nienależnie lub w nadmiernej wysokości przez beneficjentów programu „Wyrównywanie szans” </t>
  </si>
  <si>
    <t>EDUKACYJNA OPIEKA WYCHOWAWCZA</t>
  </si>
  <si>
    <t>Internaty i bursy szkolne</t>
  </si>
  <si>
    <t>Pomoc materialna dla uczniów</t>
  </si>
  <si>
    <t xml:space="preserve">Wpływ środków z tytułu kary pieniężnej stanowiącej przychód na projekcie własnym realizowanym przez Urząd Marszałkowski w ramach Programu Operacyjnego Kapitał Ludzki </t>
  </si>
  <si>
    <t>GOSPODARKA KOMUNALNA I OCHRONA ŚRODOWISKA</t>
  </si>
  <si>
    <t>Gospodarka ściekowa i ochrona wód</t>
  </si>
  <si>
    <t>Ochrona powietrza atmosferycznego i klimatu</t>
  </si>
  <si>
    <t>Dotacja otrzymana z Narodowego Funduszu Ochrony Środowiska i Gospodarki Wodnej w Warszawie</t>
  </si>
  <si>
    <t>Dotacja otrzymana z Wojewódzkiego Funduszu Ochrony Środowiska i Gospodarki Wodnej w Rzeszowie</t>
  </si>
  <si>
    <t>Wpływy i wydatki związane z gromadzeniem środków z opłat i kar za korzystanie ze środowiska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</si>
  <si>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</si>
  <si>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</si>
  <si>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odpisu 2% od wpływów z tytułu opłaty produktowej</t>
  </si>
  <si>
    <t>Wpływy i wydatki związane z wprowadzeniem do obrotu baterii i akumulatorów</t>
  </si>
  <si>
    <t>Wpłata odpisu 5% od wpływów z tytułu opłat za wprowadzenie do obrotu baterii i akumulatorów</t>
  </si>
  <si>
    <t>KULTURA I OCHRONA DZIEDZICTWA NARODOWEGO</t>
  </si>
  <si>
    <t xml:space="preserve">Pozostałe zadania w zakresie kultury </t>
  </si>
  <si>
    <t>Zwrot dotacji wykorzystanych niezgodnie z przeznaczeniem, pobranych nienależnie lub w nadmiernej wysokości na realizację zadań z zakresu kultury</t>
  </si>
  <si>
    <t>Teatry</t>
  </si>
  <si>
    <t>Wpływy z tytułu pomocy finansowej udzielanej między jednostkami samorządu terytorialnego na dofinansowanie zadań własnych</t>
  </si>
  <si>
    <t>Filharmonie, orkiestry, chóry i kapele</t>
  </si>
  <si>
    <t>Domy i ośrodki kultury, świetlice i kluby</t>
  </si>
  <si>
    <t>Biblioteki</t>
  </si>
  <si>
    <t xml:space="preserve">Dotacje celowe otrzymane z gminy na zadania bieżące realizowane na podstawie porozumień (umów) między jednostkami samorządu terytorialnego </t>
  </si>
  <si>
    <t xml:space="preserve">Dotacje celowe otrzymane z powiatu na zadania bieżące realizowane na podstawie porozumień (umów) między jednostkami samorządu terytorialnego </t>
  </si>
  <si>
    <t>Muzea</t>
  </si>
  <si>
    <t>Ochrona zabytków i opieka nad zabytkami</t>
  </si>
  <si>
    <t>OGRODY BOTANICZNE I ZOOLOGICZNE ORAZ NATURALNE OBSZARY I OBIEKTY CHRONIONEJ PRZYRODY</t>
  </si>
  <si>
    <t>Parki krajobrazowe</t>
  </si>
  <si>
    <t>KULTURA FIZYCZNA</t>
  </si>
  <si>
    <t>Zadania w zakresie kultury fizycznej</t>
  </si>
  <si>
    <t>Zwrot odsetek od dotacji wykorzystanych niezgodnie z przeznaczeniem, pobranych nienależnie lub w nadmiernej wysokości</t>
  </si>
  <si>
    <t>OGÓŁEM DOCHODY</t>
  </si>
  <si>
    <t>SZCZEGÓŁOWY PODZIAŁ WYDATKÓW</t>
  </si>
  <si>
    <t>% wykonania
(4:3)</t>
  </si>
  <si>
    <t>Wydatki
bieżące</t>
  </si>
  <si>
    <t>Wydatki
majątkowe</t>
  </si>
  <si>
    <t>Wydatki
jednostek
budżetowych</t>
  </si>
  <si>
    <t>Dotacje na
zadania
bieżące</t>
  </si>
  <si>
    <t>Świadczenia
na rzecz osób fizycznych</t>
  </si>
  <si>
    <t>Wydatki na programy finansowane
z udziałem środków UE
i źródeł zagranicznych</t>
  </si>
  <si>
    <t>Wypłaty z tytułu
poręczeń i gwarancji</t>
  </si>
  <si>
    <t>Obsługa
długu JST</t>
  </si>
  <si>
    <t>Inwestycje
i zakupy
inwestycyjne</t>
  </si>
  <si>
    <t>Zakup i
objęcie
akcji i
udziałów</t>
  </si>
  <si>
    <t>Wniesienie
wkładów do
spółek prawa
handlowego</t>
  </si>
  <si>
    <t>wynagrodzenia
i składki od
nich naliczane</t>
  </si>
  <si>
    <t>wydatki
związane
z realizacją
ich 
statutowych
zadań</t>
  </si>
  <si>
    <t>programy finansowane
z udziałem środków UE oraz źródeł zagranicznych</t>
  </si>
  <si>
    <t>01009</t>
  </si>
  <si>
    <t>15095</t>
  </si>
  <si>
    <t>400</t>
  </si>
  <si>
    <t>40001</t>
  </si>
  <si>
    <t>40003</t>
  </si>
  <si>
    <t>40095</t>
  </si>
  <si>
    <t>60002</t>
  </si>
  <si>
    <t>63003</t>
  </si>
  <si>
    <t>730</t>
  </si>
  <si>
    <t>73095</t>
  </si>
  <si>
    <t>75017</t>
  </si>
  <si>
    <t>75046</t>
  </si>
  <si>
    <t>75071</t>
  </si>
  <si>
    <t>75075</t>
  </si>
  <si>
    <t>75095</t>
  </si>
  <si>
    <t>752</t>
  </si>
  <si>
    <t>75212</t>
  </si>
  <si>
    <t>754</t>
  </si>
  <si>
    <t>75404</t>
  </si>
  <si>
    <t>75406</t>
  </si>
  <si>
    <t>75415</t>
  </si>
  <si>
    <t>757</t>
  </si>
  <si>
    <t>75702</t>
  </si>
  <si>
    <t>758</t>
  </si>
  <si>
    <t>75818</t>
  </si>
  <si>
    <t>801</t>
  </si>
  <si>
    <t>803</t>
  </si>
  <si>
    <t>851</t>
  </si>
  <si>
    <t>852</t>
  </si>
  <si>
    <t>853</t>
  </si>
  <si>
    <t>854</t>
  </si>
  <si>
    <t>85420</t>
  </si>
  <si>
    <t>85495</t>
  </si>
  <si>
    <t>900</t>
  </si>
  <si>
    <t>90001</t>
  </si>
  <si>
    <t>90005</t>
  </si>
  <si>
    <t>90019</t>
  </si>
  <si>
    <t>90020</t>
  </si>
  <si>
    <t>90095</t>
  </si>
  <si>
    <t>921</t>
  </si>
  <si>
    <t>92105</t>
  </si>
  <si>
    <t>92106</t>
  </si>
  <si>
    <t>92108</t>
  </si>
  <si>
    <t>92109</t>
  </si>
  <si>
    <t>92110</t>
  </si>
  <si>
    <t>92114</t>
  </si>
  <si>
    <t>92116</t>
  </si>
  <si>
    <t>92118</t>
  </si>
  <si>
    <t>92120</t>
  </si>
  <si>
    <t>92195</t>
  </si>
  <si>
    <t>925</t>
  </si>
  <si>
    <t>92502</t>
  </si>
  <si>
    <t>926</t>
  </si>
  <si>
    <t>92601</t>
  </si>
  <si>
    <t>92605</t>
  </si>
  <si>
    <t>Zestawienie przychodów i rozchodów budżetu</t>
  </si>
  <si>
    <t>1. PRZYCHODY</t>
  </si>
  <si>
    <t>Źródło przychodu</t>
  </si>
  <si>
    <t>% wykonania
(3:2)</t>
  </si>
  <si>
    <t>Pożyczka długoterminowa z Banku Rozwoju Rady Europy (CEB)</t>
  </si>
  <si>
    <t>Inne źródła (wolne środki)</t>
  </si>
  <si>
    <t>2. ROZCHODY</t>
  </si>
  <si>
    <t>Przeznaczenie rozchodu</t>
  </si>
  <si>
    <t xml:space="preserve">Spłaty kredytów bankowych </t>
  </si>
  <si>
    <t>Lp.</t>
  </si>
  <si>
    <t>Nazwa  jednostki</t>
  </si>
  <si>
    <t>Dochody</t>
  </si>
  <si>
    <t>Wydatki</t>
  </si>
  <si>
    <t>Plan</t>
  </si>
  <si>
    <t xml:space="preserve">Zespół  Szkół  Specjalnych  w  Rymanowie  Zdroju  </t>
  </si>
  <si>
    <t>Medyczna Szkoła Policealna  w  Przemyślu</t>
  </si>
  <si>
    <t>Medyczna Szkoła Policealna w  Jaśle</t>
  </si>
  <si>
    <t>Medyczna Szkoła Policealna  w  Sanoku</t>
  </si>
  <si>
    <t>Medyczna Szkoła Policealna  w  Łańcucie</t>
  </si>
  <si>
    <t>Medyczna Szkoła Policealna  w  Mielcu</t>
  </si>
  <si>
    <t>Medyczna Szkoła Policealna  w  Stalowej  Woli</t>
  </si>
  <si>
    <t>Medyczna Szkoła Policealna  w  Rzeszowie</t>
  </si>
  <si>
    <t>Kolegium  Nauczycielskie  w  Przemyślu</t>
  </si>
  <si>
    <t>Nauczycielskie Kolegium Języków Obcych w Dębicy</t>
  </si>
  <si>
    <t>Nauczycielskie Kolegium Języków Obcych w Nisku</t>
  </si>
  <si>
    <t>Nauczycielskie Kolegium Języków Obcych w Ropczycach</t>
  </si>
  <si>
    <t>Zespół Kolegiów  Nauczycielskich  w  Tarnobrzegu</t>
  </si>
  <si>
    <t>Nauczycielskie Kolegium Języków Obcych w Leżajsku</t>
  </si>
  <si>
    <t>Nauczycielskie Kolegium Języków Obcych w Mielcu</t>
  </si>
  <si>
    <t>Nauczycielskie Kolegium Języków Obcych w Przeworsku</t>
  </si>
  <si>
    <t>Podkarpackie Centrum Edukacji Nauczycieli w Rzeszowie</t>
  </si>
  <si>
    <t>Pedagogiczna  Biblioteka  Wojewódzka  w 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</si>
  <si>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</si>
  <si>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</si>
  <si>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</si>
  <si>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60014</t>
  </si>
  <si>
    <t>75412</t>
  </si>
  <si>
    <t>90024</t>
  </si>
  <si>
    <t>92695</t>
  </si>
  <si>
    <t>Wpływ środków stanowiących przychód na projekcie własnym realizowanym przez WUP pn. "Podkarpackie Obserwatorium Rynku Pracy" w ramach Programu Operacyjnego Kapitał Ludzki 2007-2013</t>
  </si>
  <si>
    <t>NAUKA</t>
  </si>
  <si>
    <t>Zwrot dotacji pobranych nienależnie przez przewoźników autobusowych</t>
  </si>
  <si>
    <t>Kary umowne za nieterminowe wykonanie przeglądów okresowych autobusów szynowych, studium wykonalności dla projektu pn. Zakup pojazdów szynowych na potrzeby kolejowych przewozów osób w Województwie Podkarpackim, przeprowadzenie kontroli finasowej za 2011r. w Przewozy Regionalne Sp. z o. o.</t>
  </si>
  <si>
    <t>Zwrot przez Szpital Wojewódzki Nr 2 im. Św. Jadwigi Królowej w Rzeszowie środków zrefundowanych z budżetu Unii Europejskiej w ramach projektu pn. Modernizacja i rozbudowa Szpitalnego Oddziału Ratunkowego w Szpitalu Wojewódzkim nr 2 w Rzeszowie</t>
  </si>
  <si>
    <t xml:space="preserve">Dotacje celowe otrzymane z budżetu państwa na inwestycje i zakupy inwestycyjne z zakresu administracji rządowej oraz inne zadania zlecone ustawami realizowane przez samorząd województwa </t>
  </si>
  <si>
    <t>Obiekty sportowe</t>
  </si>
  <si>
    <t>Zwrot dotacji wykorzystanych niezgodnie z przeznaczeniem, pobranych nienależnie lub w nadmiernej wysokości przez organizacje pozarządowe na realizację zadań z zakresu pomocy społecznej</t>
  </si>
  <si>
    <t>Dotacja celowa z budżetu państwa na wydatki niekwalifikowalne objęte Pomocą Techniczną  Programu Operacyjnego Zrównoważony rozwój sektora rybołówstwa i nadbrzeżnych obszarów rybackich</t>
  </si>
  <si>
    <t>Wpłaty z tytułu przekształcenia użytkowania wieczystego w prawo własności nieruchomości położonej przy ul. Armii Krajowej w Łańcucie</t>
  </si>
  <si>
    <t>Gospodarka odpadami</t>
  </si>
  <si>
    <t>Grzywny, mandaty i inne kary pieniężne od osob fizycznych</t>
  </si>
  <si>
    <t>Grzywny, mandaty i inne kary pieniężne od odób prawnych i innych jednostek organizacyjnych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</si>
  <si>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</si>
  <si>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bieżących zadań własnych samorządu</t>
  </si>
  <si>
    <t xml:space="preserve">Wpływ środków stanowiących przychód na projekcie własnym pn. Podkarpackie stawia na zawodowców, realizowanym przez Wojewódzki Urząd Pracy w Rzeszowie w ramach Programu Operacyjnego Kapitał Ludzki </t>
  </si>
  <si>
    <t>Państwowy Fundusz Rehabilitacji Osób Niepełnosprawnych</t>
  </si>
  <si>
    <t xml:space="preserve">Zwrot dotacji wykorzystanych niezgodnie z przeznaczeniem, pobranych nienależnie lub w nadmiernej wysokości </t>
  </si>
  <si>
    <t>Wpływ za korzystanie przez Port Lotniczy Rzeszów - Jasionka sp.zo.o. ze strony internetowej www.wrota.podkarpackie.pl</t>
  </si>
  <si>
    <t xml:space="preserve">Wpływ 2,5% odpisu ze środków Państwowego Funduszu Rehabilitacji Osób Niepełnosprawynch </t>
  </si>
  <si>
    <t xml:space="preserve">Zwrot nadpłaconych wydatków stanowiących przychód na projekcie własnym realizowanym przez Regionalny Ośrodek Polityki Społecznej w ramach Programu Operacyjnego Kapitał Ludzki </t>
  </si>
  <si>
    <t>Zwrot nadpłaconych wydatków na realizację projektu własnego WUP w ramach Pomocy Technicznej Programu Operacyjnego Kapitał Ludzki</t>
  </si>
  <si>
    <t>Przychód na projekcie Pomocy Technicznej Programu Operacyjnego Kapitał Ludzki z tytułu kary umownej naliczonej kontrahentowi za nieterminową realizację umowy</t>
  </si>
  <si>
    <t>Opłaty za wieczyste użytkowanie nieruchomości gruntowych położenych w Markowej i w Rzeszowie</t>
  </si>
  <si>
    <t>Wpływ z tytułu rozliczenia nadpłaty wynikającej z opłaty rocznej za zwrot wywłaszczonej nieruchomości położonej w Przemyślu przy ul. Monte Cassino</t>
  </si>
  <si>
    <t xml:space="preserve">Wpływy z tytułu pomocy finansowej udzielanej między jednostkami samorządu terytorialnego na dofinansowanie zadań własnych  </t>
  </si>
  <si>
    <t xml:space="preserve">Wpływy z tytułu wpłaty kary umownej naliczonej za odstąpienie od wykonania umowy </t>
  </si>
  <si>
    <t>Wpłaty przez jednostki samorządu terytorialnego kar umownych naliczonych wykonawcom zadań w ramch realizacji programów "Bezpieczne Boiska Podkarpacia" i "Moje Boisko - Orlik 2012"</t>
  </si>
  <si>
    <t>RAZEM</t>
  </si>
  <si>
    <t>Nauczycielskie Kolegium Języków Obcych 
w Rzeszowie</t>
  </si>
  <si>
    <t xml:space="preserve">Nauczycielskie Kolegium Języków Obcych 
w Przemyślu  </t>
  </si>
  <si>
    <t xml:space="preserve">Zespół  Szkół  przy  Szpitalu  Wojewódzkim  Nr 2  
w  Rzeszowie                 </t>
  </si>
  <si>
    <t>Zestawienie wykonania planu dochodów gromadzonych na wyodrębnionym rachunku 
przez wojewódzkie oświatowe jednostki budżetowe, oraz wydatków nimi finansowanych</t>
  </si>
  <si>
    <t>Pożyczki udzielone</t>
  </si>
  <si>
    <t>Spłata pożyczek udzielonych z budżetu</t>
  </si>
  <si>
    <t>Składki na ubezpieczenia zdrowotne oraz świadczenia dla osób nieobjętych obowiązkiem ubezpieczenia zdrowotnego</t>
  </si>
  <si>
    <t>Prace geodezyjne i kartograficzne (nieinwestycyjne)</t>
  </si>
  <si>
    <t>(5: 4)</t>
  </si>
  <si>
    <t>% wykonania</t>
  </si>
  <si>
    <t>Nazwa</t>
  </si>
  <si>
    <r>
      <t>1.</t>
    </r>
    <r>
      <rPr>
        <b/>
        <sz val="10"/>
        <rFont val="Times New Roman"/>
        <family val="1"/>
      </rPr>
      <t xml:space="preserve">          </t>
    </r>
    <r>
      <rPr>
        <b/>
        <sz val="10"/>
        <rFont val="Arial"/>
        <family val="2"/>
      </rPr>
      <t>DOCHODY</t>
    </r>
  </si>
  <si>
    <t>Zestawienie wykonania planu dochodów i wydatków zadań z zakresu 
administracji rządowej wykonywanych przez samorząd województwa</t>
  </si>
  <si>
    <t>Prace geodezyjnoe i kartograficzne (nieinwestycyjne)</t>
  </si>
  <si>
    <t>13.</t>
  </si>
  <si>
    <t>12.</t>
  </si>
  <si>
    <t>11.</t>
  </si>
  <si>
    <t>Świadczenia na rzecz osób fizycznych</t>
  </si>
  <si>
    <t>wydatki związane z realizacją ich statutowych zadań</t>
  </si>
  <si>
    <t>wynagrodzenia i składki od nich naliczane</t>
  </si>
  <si>
    <t>Dotacje na zadania bieżące</t>
  </si>
  <si>
    <t>Wydatki jednostek budżetowych</t>
  </si>
  <si>
    <t>Wydatki majątkowe</t>
  </si>
  <si>
    <t>Wydatki bieżące</t>
  </si>
  <si>
    <r>
      <t>2.</t>
    </r>
    <r>
      <rPr>
        <b/>
        <sz val="12"/>
        <rFont val="Times New Roman"/>
        <family val="1"/>
      </rPr>
      <t xml:space="preserve">          </t>
    </r>
    <r>
      <rPr>
        <b/>
        <sz val="12"/>
        <rFont val="Arial"/>
        <family val="2"/>
      </rPr>
      <t>WYDATKI</t>
    </r>
  </si>
  <si>
    <t>Ustawa z dnia 24 kwietnia 2009r. o bateriach i akumulatorach</t>
  </si>
  <si>
    <t>Ustawa z dnia 27 kwietnia 2001r. prawo ochrony środowiska</t>
  </si>
  <si>
    <t xml:space="preserve">Przeciwdziałanie alkoholizmowi </t>
  </si>
  <si>
    <t>Ustawa z dnia 26 października 1982r. o wychowaniu w trzeźwości i przeciwdziałaniu alkoholizmowi</t>
  </si>
  <si>
    <t>Ustawa z dnia 3 lutego 1995r. o ochronie gruntów rolnych i leśnych</t>
  </si>
  <si>
    <t>WYDATKI</t>
  </si>
  <si>
    <t>DOCHODY</t>
  </si>
  <si>
    <t>Ustawa</t>
  </si>
  <si>
    <t>Nazwa rozdziału</t>
  </si>
  <si>
    <t>Zestawienie dochodów i wydatków związanych ze szczególnymi zasadami wykonywania budżetu województwa 
wynikającymi z odrębnych ustaw</t>
  </si>
  <si>
    <t xml:space="preserve">Ustawa z dnia 11 maja 2001r. o obowiązkach przedsiębiorców w zakresie gospodarowania niektórymi odpadami oraz o opłacie produktowej  </t>
  </si>
  <si>
    <t>Wpłata odsetek od dotacji wykorzystanych niezgodnie z przeznaczeniem, pobranych nienależnie lub w nadmiernej wysokości przez beneficjentów projektów realizowanych w ramach Programu Operacyjnego Kapitał Ludzki</t>
  </si>
  <si>
    <t>Wpływy z tytułu dzierżawy autobusów szynowych</t>
  </si>
  <si>
    <t>Dotacja celowa otrzymana z budżetu państwa na zadania z zakresu administracji rządowej oraz inne zadania zlecone ustawami realizowane przez samorząd województwa z przeznaczeniem na wypłatę dopłat przewoźnikom z tytułu stosowania ustawowych ulg w regularnych przewozach autobusowych</t>
  </si>
  <si>
    <t>Wpłata odsetek od  dotacji  pobranych nienależnie przez przewoźników autobusowych</t>
  </si>
  <si>
    <t>Wpłata odsetek od dotacji wykorzystanych niezgodnie z przeznaczeniem, pobranych nienależnie lub w nadmiernej wysokości przez beneficjentów projektów realizowanych w ramach Regionalnego Programu Operacyjnego Województwa Podkarpackiego</t>
  </si>
  <si>
    <t>Wpłata odsetek stanowiących przychód na projekcie pn. "Wzmocnienie instytucjalnego systemu wdrażania Regionalnej Strategii Innowacji w latach 2007-2013 w województwie podkarpackim"</t>
  </si>
  <si>
    <t>Środki pochodzące z budżetu Unii Europejskiej na realizację projektu pn. "Wznowienie wydania Leksykonu Podkarpackich Smaków" w ramach Szwajcarsko - Polskiego Programu Współpracy</t>
  </si>
  <si>
    <t xml:space="preserve">Wpłata odsetek od dotacji wykorzystanych niezgodnie z przeznaczeniem, pobranych nienależnie lub w nadmiernej wysokości </t>
  </si>
  <si>
    <t>Wpłata odsetek od środków z tytułu otrzymanego stypendium w ramach projektu pn. "Podkarpacki fundusz stypendialny dla doktorantów" w ramach Programu Operacyjnego Kapitał Ludzki</t>
  </si>
  <si>
    <t>Wpłata odsetek od dotacji wykorzystanych niezgodnie z przeznaczeniem, pobranych nienależnie lub w nadmiernej wysokości na realizację zadań z zakresu przeciwdziałania alkoholizmowi</t>
  </si>
  <si>
    <t>Wpłata odsetek od dotacji wykorzystanych niezgodnie z przeznaczeniem, pobranych nienależnie lub w nadmiernej wysokości przez organizacje pozarządowe na realizację zadań z zakresu pomocy społecznej</t>
  </si>
  <si>
    <t>Wpłata odsetek od dotacji wykorzystanych niezgodnie z przeznaczeniem, pobranych nienależnie lub w nadmiernej wysokości przez ROEFSy w ramach Pomocy Technicznej Programu Operacyjnego Kapitał Ludzki</t>
  </si>
  <si>
    <t>Wpłata odsetek od zwrotu nadpłaconych wydatków na realizację projektu własnego WUP w ramach Zintegrowanego Programu Operacyjnego Rozwoju Regionalnego</t>
  </si>
  <si>
    <t>Wpłataodsetek od dotacji wykorzystanych niezgodnie z przeznaczeniem, pobranych nienależnie lub w nadmiernej wysokości przez beneficjentów projektów realizowanych w ramach Programu Operacyjnego Kapitał Ludzki</t>
  </si>
  <si>
    <t xml:space="preserve">Wpłata odsetek od nadpłaconych wydatków stanowiących przychód na projekcie własnym realizowanym przez Regionalny Ośrodek Polityki Społecznej w ramach Programu Operacyjnego Kapitał Ludzki </t>
  </si>
  <si>
    <t xml:space="preserve">Wpłata odsetek stanowiących przychód na projektach realizowanych przez beneficjentów w ramach Programu Operacyjnego Kapitał Ludzki </t>
  </si>
  <si>
    <t>Wpłata odsetek od dotacji wykorzystanych niezgodnie z przeznaczeniem, pobranych nienależnie lub w nadmiernej wysokości na realizację zadań z zakresu kultury</t>
  </si>
  <si>
    <t>Wpłata odsetek od dotacji wykorzystanych niezgodnie z przeznaczeniem, pobranych nienależnie lub w nadmiernej wysokości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</si>
</sst>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6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i/>
      <sz val="11"/>
      <color theme="1"/>
      <name val="Czcionka tekstu podstawowego"/>
      <family val="2"/>
      <charset val="238"/>
    </font>
    <font>
      <sz val="10"/>
      <color theme="1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name val="Arial CE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charset val="238"/>
    </font>
    <font>
      <b/>
      <sz val="10"/>
      <name val="Times New Roman"/>
      <family val="1"/>
    </font>
    <font>
      <b/>
      <i/>
      <sz val="12"/>
      <name val="Arial CE"/>
      <family val="2"/>
      <charset val="238"/>
    </font>
    <font>
      <b/>
      <sz val="12"/>
      <name val="Arial"/>
      <family val="2"/>
    </font>
    <font>
      <sz val="10"/>
      <name val="Arial CE"/>
      <family val="2"/>
      <charset val="238"/>
    </font>
    <font>
      <b/>
      <sz val="12"/>
      <name val="Times New Roman"/>
      <family val="1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</cellStyleXfs>
  <cellXfs count="660">
    <xf numFmtId="0" fontId="0" fillId="0" borderId="0" xfId="0"/>
    <xf numFmtId="0" fontId="1" fillId="0" borderId="0" xfId="1"/>
    <xf numFmtId="0" fontId="1" fillId="0" borderId="0" xfId="1" applyFont="1"/>
    <xf numFmtId="3" fontId="1" fillId="0" borderId="0" xfId="1" applyNumberFormat="1"/>
    <xf numFmtId="0" fontId="10" fillId="0" borderId="0" xfId="9" applyFont="1" applyAlignment="1">
      <alignment horizontal="center" vertical="center"/>
    </xf>
    <xf numFmtId="0" fontId="10" fillId="0" borderId="0" xfId="9" applyFont="1" applyAlignment="1">
      <alignment horizontal="left" vertical="center"/>
    </xf>
    <xf numFmtId="0" fontId="10" fillId="0" borderId="0" xfId="9" applyFont="1" applyAlignment="1">
      <alignment horizontal="right" vertical="center"/>
    </xf>
    <xf numFmtId="0" fontId="11" fillId="0" borderId="0" xfId="9" applyFont="1" applyAlignment="1">
      <alignment horizontal="right" vertical="center"/>
    </xf>
    <xf numFmtId="0" fontId="8" fillId="0" borderId="0" xfId="9"/>
    <xf numFmtId="0" fontId="12" fillId="0" borderId="0" xfId="9" applyFont="1" applyAlignment="1">
      <alignment horizontal="right" vertical="center"/>
    </xf>
    <xf numFmtId="0" fontId="14" fillId="0" borderId="0" xfId="9" applyFont="1"/>
    <xf numFmtId="0" fontId="15" fillId="0" borderId="0" xfId="9" applyFont="1" applyAlignment="1">
      <alignment horizontal="center" vertical="center" wrapText="1"/>
    </xf>
    <xf numFmtId="0" fontId="15" fillId="0" borderId="0" xfId="9" applyFont="1" applyAlignment="1">
      <alignment horizontal="center" vertical="center"/>
    </xf>
    <xf numFmtId="0" fontId="16" fillId="0" borderId="0" xfId="10" applyFont="1" applyFill="1" applyBorder="1" applyAlignment="1">
      <alignment horizontal="left" vertical="center" wrapText="1"/>
    </xf>
    <xf numFmtId="0" fontId="15" fillId="0" borderId="0" xfId="9" applyFont="1" applyAlignment="1">
      <alignment horizontal="right" vertical="center"/>
    </xf>
    <xf numFmtId="3" fontId="15" fillId="0" borderId="0" xfId="9" applyNumberFormat="1" applyFont="1" applyAlignment="1">
      <alignment horizontal="right" vertical="center"/>
    </xf>
    <xf numFmtId="0" fontId="17" fillId="0" borderId="0" xfId="9" applyFont="1" applyAlignment="1">
      <alignment horizontal="right" vertical="center"/>
    </xf>
    <xf numFmtId="0" fontId="19" fillId="0" borderId="26" xfId="9" applyFont="1" applyBorder="1" applyAlignment="1">
      <alignment horizontal="center" vertical="center"/>
    </xf>
    <xf numFmtId="0" fontId="17" fillId="0" borderId="26" xfId="9" applyFont="1" applyBorder="1" applyAlignment="1">
      <alignment horizontal="center" vertical="center"/>
    </xf>
    <xf numFmtId="49" fontId="18" fillId="2" borderId="26" xfId="9" applyNumberFormat="1" applyFont="1" applyFill="1" applyBorder="1" applyAlignment="1">
      <alignment horizontal="center" vertical="center"/>
    </xf>
    <xf numFmtId="0" fontId="18" fillId="2" borderId="26" xfId="9" applyFont="1" applyFill="1" applyBorder="1" applyAlignment="1">
      <alignment horizontal="left" vertical="center"/>
    </xf>
    <xf numFmtId="3" fontId="18" fillId="2" borderId="26" xfId="9" applyNumberFormat="1" applyFont="1" applyFill="1" applyBorder="1" applyAlignment="1">
      <alignment horizontal="right" vertical="center"/>
    </xf>
    <xf numFmtId="10" fontId="18" fillId="2" borderId="26" xfId="9" applyNumberFormat="1" applyFont="1" applyFill="1" applyBorder="1" applyAlignment="1">
      <alignment horizontal="right" vertical="center"/>
    </xf>
    <xf numFmtId="0" fontId="20" fillId="0" borderId="0" xfId="9" applyFont="1"/>
    <xf numFmtId="49" fontId="21" fillId="0" borderId="26" xfId="9" applyNumberFormat="1" applyFont="1" applyBorder="1" applyAlignment="1">
      <alignment horizontal="center" vertical="center"/>
    </xf>
    <xf numFmtId="0" fontId="21" fillId="0" borderId="26" xfId="9" applyFont="1" applyBorder="1" applyAlignment="1">
      <alignment horizontal="left" vertical="center"/>
    </xf>
    <xf numFmtId="3" fontId="21" fillId="0" borderId="26" xfId="9" applyNumberFormat="1" applyFont="1" applyBorder="1" applyAlignment="1">
      <alignment horizontal="right" vertical="center"/>
    </xf>
    <xf numFmtId="10" fontId="21" fillId="0" borderId="26" xfId="9" applyNumberFormat="1" applyFont="1" applyBorder="1" applyAlignment="1">
      <alignment horizontal="right" vertical="center"/>
    </xf>
    <xf numFmtId="0" fontId="22" fillId="0" borderId="0" xfId="9" applyFont="1"/>
    <xf numFmtId="49" fontId="21" fillId="0" borderId="26" xfId="9" applyNumberFormat="1" applyFont="1" applyFill="1" applyBorder="1" applyAlignment="1">
      <alignment horizontal="center" vertical="center"/>
    </xf>
    <xf numFmtId="0" fontId="7" fillId="0" borderId="26" xfId="10" applyFont="1" applyFill="1" applyBorder="1" applyAlignment="1">
      <alignment vertical="center" wrapText="1"/>
    </xf>
    <xf numFmtId="3" fontId="17" fillId="0" borderId="26" xfId="9" applyNumberFormat="1" applyFont="1" applyBorder="1" applyAlignment="1">
      <alignment horizontal="right" vertical="center"/>
    </xf>
    <xf numFmtId="10" fontId="17" fillId="0" borderId="26" xfId="9" applyNumberFormat="1" applyFont="1" applyBorder="1" applyAlignment="1">
      <alignment horizontal="right" vertical="center"/>
    </xf>
    <xf numFmtId="0" fontId="21" fillId="0" borderId="26" xfId="9" applyFont="1" applyBorder="1" applyAlignment="1">
      <alignment horizontal="left" vertical="center" wrapText="1"/>
    </xf>
    <xf numFmtId="0" fontId="23" fillId="0" borderId="0" xfId="9" applyFont="1"/>
    <xf numFmtId="49" fontId="17" fillId="0" borderId="26" xfId="9" applyNumberFormat="1" applyFont="1" applyBorder="1" applyAlignment="1">
      <alignment horizontal="center" vertical="center"/>
    </xf>
    <xf numFmtId="0" fontId="7" fillId="0" borderId="26" xfId="10" applyFont="1" applyFill="1" applyBorder="1" applyAlignment="1">
      <alignment horizontal="left" vertical="center" wrapText="1"/>
    </xf>
    <xf numFmtId="0" fontId="24" fillId="0" borderId="0" xfId="9" applyFont="1"/>
    <xf numFmtId="0" fontId="7" fillId="0" borderId="26" xfId="10" applyFont="1" applyBorder="1" applyAlignment="1">
      <alignment vertical="center" wrapText="1"/>
    </xf>
    <xf numFmtId="0" fontId="23" fillId="0" borderId="0" xfId="9" applyFont="1" applyAlignment="1">
      <alignment horizontal="left"/>
    </xf>
    <xf numFmtId="0" fontId="17" fillId="0" borderId="26" xfId="9" applyFont="1" applyFill="1" applyBorder="1" applyAlignment="1">
      <alignment horizontal="left" vertical="center" wrapText="1"/>
    </xf>
    <xf numFmtId="3" fontId="17" fillId="0" borderId="26" xfId="9" applyNumberFormat="1" applyFont="1" applyFill="1" applyBorder="1" applyAlignment="1">
      <alignment horizontal="right" vertical="center"/>
    </xf>
    <xf numFmtId="3" fontId="7" fillId="0" borderId="26" xfId="9" applyNumberFormat="1" applyFont="1" applyFill="1" applyBorder="1" applyAlignment="1">
      <alignment horizontal="right" vertical="center"/>
    </xf>
    <xf numFmtId="0" fontId="7" fillId="0" borderId="26" xfId="4" applyFont="1" applyFill="1" applyBorder="1" applyAlignment="1">
      <alignment horizontal="left" vertical="center" wrapText="1"/>
    </xf>
    <xf numFmtId="0" fontId="2" fillId="0" borderId="26" xfId="10" applyFont="1" applyFill="1" applyBorder="1" applyAlignment="1">
      <alignment vertical="center" wrapText="1"/>
    </xf>
    <xf numFmtId="10" fontId="17" fillId="0" borderId="26" xfId="9" applyNumberFormat="1" applyFont="1" applyFill="1" applyBorder="1" applyAlignment="1">
      <alignment horizontal="right" vertical="center"/>
    </xf>
    <xf numFmtId="3" fontId="24" fillId="0" borderId="0" xfId="9" applyNumberFormat="1" applyFont="1"/>
    <xf numFmtId="0" fontId="2" fillId="0" borderId="26" xfId="10" applyFont="1" applyBorder="1" applyAlignment="1">
      <alignment vertical="center" wrapText="1"/>
    </xf>
    <xf numFmtId="0" fontId="17" fillId="0" borderId="26" xfId="9" applyFont="1" applyBorder="1" applyAlignment="1">
      <alignment horizontal="left" vertical="center" wrapText="1"/>
    </xf>
    <xf numFmtId="0" fontId="16" fillId="0" borderId="26" xfId="10" applyFont="1" applyFill="1" applyBorder="1" applyAlignment="1">
      <alignment horizontal="left" vertical="center" wrapText="1"/>
    </xf>
    <xf numFmtId="0" fontId="18" fillId="2" borderId="26" xfId="9" applyFont="1" applyFill="1" applyBorder="1" applyAlignment="1">
      <alignment horizontal="left" vertical="center" wrapText="1"/>
    </xf>
    <xf numFmtId="49" fontId="21" fillId="3" borderId="26" xfId="9" applyNumberFormat="1" applyFont="1" applyFill="1" applyBorder="1" applyAlignment="1">
      <alignment horizontal="center" vertical="center"/>
    </xf>
    <xf numFmtId="0" fontId="21" fillId="3" borderId="26" xfId="9" applyFont="1" applyFill="1" applyBorder="1" applyAlignment="1">
      <alignment horizontal="left" vertical="center" wrapText="1"/>
    </xf>
    <xf numFmtId="3" fontId="21" fillId="3" borderId="26" xfId="9" applyNumberFormat="1" applyFont="1" applyFill="1" applyBorder="1" applyAlignment="1">
      <alignment horizontal="right" vertical="center"/>
    </xf>
    <xf numFmtId="3" fontId="17" fillId="3" borderId="26" xfId="9" applyNumberFormat="1" applyFont="1" applyFill="1" applyBorder="1" applyAlignment="1">
      <alignment horizontal="right" vertical="center"/>
    </xf>
    <xf numFmtId="0" fontId="25" fillId="0" borderId="0" xfId="9" applyFont="1"/>
    <xf numFmtId="10" fontId="21" fillId="2" borderId="26" xfId="9" applyNumberFormat="1" applyFont="1" applyFill="1" applyBorder="1" applyAlignment="1">
      <alignment horizontal="right" vertical="center"/>
    </xf>
    <xf numFmtId="0" fontId="17" fillId="3" borderId="26" xfId="9" applyFont="1" applyFill="1" applyBorder="1" applyAlignment="1">
      <alignment horizontal="left" vertical="center" wrapText="1"/>
    </xf>
    <xf numFmtId="0" fontId="26" fillId="0" borderId="0" xfId="9" applyFont="1"/>
    <xf numFmtId="10" fontId="21" fillId="3" borderId="26" xfId="9" applyNumberFormat="1" applyFont="1" applyFill="1" applyBorder="1" applyAlignment="1">
      <alignment horizontal="right" vertical="center"/>
    </xf>
    <xf numFmtId="0" fontId="26" fillId="3" borderId="0" xfId="9" applyFont="1" applyFill="1"/>
    <xf numFmtId="0" fontId="26" fillId="0" borderId="0" xfId="9" applyFont="1" applyFill="1"/>
    <xf numFmtId="0" fontId="23" fillId="3" borderId="0" xfId="9" applyFont="1" applyFill="1"/>
    <xf numFmtId="10" fontId="17" fillId="3" borderId="26" xfId="9" applyNumberFormat="1" applyFont="1" applyFill="1" applyBorder="1" applyAlignment="1">
      <alignment horizontal="right" vertical="center"/>
    </xf>
    <xf numFmtId="0" fontId="24" fillId="3" borderId="0" xfId="9" applyFont="1" applyFill="1"/>
    <xf numFmtId="0" fontId="1" fillId="0" borderId="26" xfId="10" applyFont="1" applyBorder="1" applyAlignment="1">
      <alignment vertical="center"/>
    </xf>
    <xf numFmtId="0" fontId="1" fillId="0" borderId="26" xfId="10" applyFont="1" applyBorder="1" applyAlignment="1">
      <alignment vertical="center" wrapText="1"/>
    </xf>
    <xf numFmtId="0" fontId="23" fillId="0" borderId="0" xfId="9" applyFont="1" applyAlignment="1">
      <alignment vertical="center"/>
    </xf>
    <xf numFmtId="0" fontId="25" fillId="3" borderId="0" xfId="9" applyFont="1" applyFill="1"/>
    <xf numFmtId="49" fontId="21" fillId="3" borderId="27" xfId="9" applyNumberFormat="1" applyFont="1" applyFill="1" applyBorder="1" applyAlignment="1">
      <alignment horizontal="center" vertical="center"/>
    </xf>
    <xf numFmtId="0" fontId="7" fillId="0" borderId="26" xfId="10" applyFont="1" applyBorder="1" applyAlignment="1">
      <alignment horizontal="left" vertical="center" wrapText="1"/>
    </xf>
    <xf numFmtId="0" fontId="27" fillId="0" borderId="26" xfId="10" applyFont="1" applyBorder="1" applyAlignment="1">
      <alignment vertical="center" wrapText="1"/>
    </xf>
    <xf numFmtId="0" fontId="7" fillId="3" borderId="26" xfId="10" applyFont="1" applyFill="1" applyBorder="1" applyAlignment="1">
      <alignment horizontal="left" vertical="center" wrapText="1"/>
    </xf>
    <xf numFmtId="0" fontId="3" fillId="2" borderId="26" xfId="10" applyFont="1" applyFill="1" applyBorder="1" applyAlignment="1">
      <alignment horizontal="left" vertical="center" wrapText="1"/>
    </xf>
    <xf numFmtId="0" fontId="28" fillId="0" borderId="26" xfId="10" applyFont="1" applyFill="1" applyBorder="1" applyAlignment="1">
      <alignment horizontal="left" vertical="center" wrapText="1"/>
    </xf>
    <xf numFmtId="3" fontId="7" fillId="0" borderId="26" xfId="9" applyNumberFormat="1" applyFont="1" applyBorder="1" applyAlignment="1">
      <alignment horizontal="right" vertical="center"/>
    </xf>
    <xf numFmtId="49" fontId="21" fillId="2" borderId="26" xfId="9" applyNumberFormat="1" applyFont="1" applyFill="1" applyBorder="1" applyAlignment="1">
      <alignment horizontal="center" vertical="center"/>
    </xf>
    <xf numFmtId="0" fontId="28" fillId="3" borderId="26" xfId="10" applyFont="1" applyFill="1" applyBorder="1" applyAlignment="1">
      <alignment horizontal="left" vertical="center" wrapText="1"/>
    </xf>
    <xf numFmtId="164" fontId="17" fillId="0" borderId="26" xfId="11" applyNumberFormat="1" applyFont="1" applyBorder="1" applyAlignment="1">
      <alignment horizontal="right" vertical="center"/>
    </xf>
    <xf numFmtId="1" fontId="17" fillId="0" borderId="26" xfId="9" applyNumberFormat="1" applyFont="1" applyBorder="1" applyAlignment="1">
      <alignment horizontal="right" vertical="center"/>
    </xf>
    <xf numFmtId="0" fontId="21" fillId="3" borderId="26" xfId="9" applyFont="1" applyFill="1" applyBorder="1" applyAlignment="1">
      <alignment horizontal="center" vertical="center"/>
    </xf>
    <xf numFmtId="0" fontId="28" fillId="3" borderId="26" xfId="9" applyFont="1" applyFill="1" applyBorder="1" applyAlignment="1">
      <alignment horizontal="left" vertical="center" wrapText="1"/>
    </xf>
    <xf numFmtId="164" fontId="21" fillId="3" borderId="26" xfId="11" applyNumberFormat="1" applyFont="1" applyFill="1" applyBorder="1" applyAlignment="1">
      <alignment horizontal="right" vertical="center"/>
    </xf>
    <xf numFmtId="164" fontId="17" fillId="3" borderId="26" xfId="11" applyNumberFormat="1" applyFont="1" applyFill="1" applyBorder="1" applyAlignment="1">
      <alignment horizontal="right" vertical="center"/>
    </xf>
    <xf numFmtId="1" fontId="17" fillId="3" borderId="26" xfId="9" applyNumberFormat="1" applyFont="1" applyFill="1" applyBorder="1" applyAlignment="1">
      <alignment horizontal="right" vertical="center"/>
    </xf>
    <xf numFmtId="0" fontId="8" fillId="3" borderId="0" xfId="9" applyFill="1"/>
    <xf numFmtId="0" fontId="7" fillId="3" borderId="26" xfId="9" applyNumberFormat="1" applyFont="1" applyFill="1" applyBorder="1" applyAlignment="1">
      <alignment horizontal="left" vertical="center" wrapText="1"/>
    </xf>
    <xf numFmtId="0" fontId="21" fillId="0" borderId="26" xfId="9" applyFont="1" applyBorder="1" applyAlignment="1">
      <alignment horizontal="center" vertical="center"/>
    </xf>
    <xf numFmtId="0" fontId="28" fillId="0" borderId="26" xfId="9" applyFont="1" applyBorder="1" applyAlignment="1">
      <alignment horizontal="left" vertical="center" wrapText="1"/>
    </xf>
    <xf numFmtId="164" fontId="21" fillId="0" borderId="26" xfId="11" applyNumberFormat="1" applyFont="1" applyBorder="1" applyAlignment="1">
      <alignment horizontal="right" vertical="center"/>
    </xf>
    <xf numFmtId="0" fontId="7" fillId="0" borderId="26" xfId="9" applyFont="1" applyBorder="1" applyAlignment="1">
      <alignment horizontal="left" vertical="center" wrapText="1"/>
    </xf>
    <xf numFmtId="0" fontId="18" fillId="2" borderId="26" xfId="9" applyFont="1" applyFill="1" applyBorder="1" applyAlignment="1">
      <alignment horizontal="center" vertical="center"/>
    </xf>
    <xf numFmtId="0" fontId="3" fillId="2" borderId="26" xfId="9" applyFont="1" applyFill="1" applyBorder="1" applyAlignment="1">
      <alignment horizontal="left" vertical="center" wrapText="1"/>
    </xf>
    <xf numFmtId="164" fontId="18" fillId="2" borderId="26" xfId="11" applyNumberFormat="1" applyFont="1" applyFill="1" applyBorder="1" applyAlignment="1">
      <alignment horizontal="right" vertical="center"/>
    </xf>
    <xf numFmtId="3" fontId="17" fillId="0" borderId="26" xfId="11" applyNumberFormat="1" applyFont="1" applyBorder="1" applyAlignment="1">
      <alignment horizontal="right" vertical="center"/>
    </xf>
    <xf numFmtId="3" fontId="17" fillId="3" borderId="26" xfId="11" applyNumberFormat="1" applyFont="1" applyFill="1" applyBorder="1" applyAlignment="1">
      <alignment horizontal="right" vertical="center"/>
    </xf>
    <xf numFmtId="0" fontId="16" fillId="3" borderId="26" xfId="10" applyFont="1" applyFill="1" applyBorder="1" applyAlignment="1">
      <alignment horizontal="left" vertical="center" wrapText="1"/>
    </xf>
    <xf numFmtId="0" fontId="20" fillId="2" borderId="0" xfId="9" applyFont="1" applyFill="1"/>
    <xf numFmtId="0" fontId="17" fillId="3" borderId="26" xfId="9" applyFont="1" applyFill="1" applyBorder="1" applyAlignment="1">
      <alignment horizontal="center" vertical="center"/>
    </xf>
    <xf numFmtId="0" fontId="21" fillId="3" borderId="28" xfId="9" applyFont="1" applyFill="1" applyBorder="1" applyAlignment="1">
      <alignment horizontal="center" vertical="center"/>
    </xf>
    <xf numFmtId="3" fontId="21" fillId="3" borderId="26" xfId="11" applyNumberFormat="1" applyFont="1" applyFill="1" applyBorder="1" applyAlignment="1">
      <alignment horizontal="right" vertical="center"/>
    </xf>
    <xf numFmtId="0" fontId="7" fillId="3" borderId="26" xfId="9" applyFont="1" applyFill="1" applyBorder="1" applyAlignment="1">
      <alignment horizontal="left" vertical="center" wrapText="1"/>
    </xf>
    <xf numFmtId="3" fontId="7" fillId="3" borderId="26" xfId="11" applyNumberFormat="1" applyFont="1" applyFill="1" applyBorder="1" applyAlignment="1">
      <alignment horizontal="right" vertical="center"/>
    </xf>
    <xf numFmtId="3" fontId="18" fillId="2" borderId="26" xfId="11" applyNumberFormat="1" applyFont="1" applyFill="1" applyBorder="1" applyAlignment="1">
      <alignment horizontal="right" vertical="center"/>
    </xf>
    <xf numFmtId="3" fontId="21" fillId="0" borderId="26" xfId="11" applyNumberFormat="1" applyFont="1" applyBorder="1" applyAlignment="1">
      <alignment horizontal="right" vertical="center"/>
    </xf>
    <xf numFmtId="0" fontId="29" fillId="0" borderId="26" xfId="10" applyFont="1" applyFill="1" applyBorder="1" applyAlignment="1">
      <alignment horizontal="left" vertical="center" wrapText="1"/>
    </xf>
    <xf numFmtId="0" fontId="17" fillId="3" borderId="26" xfId="10" applyFont="1" applyFill="1" applyBorder="1" applyAlignment="1">
      <alignment horizontal="left" vertical="center" wrapText="1"/>
    </xf>
    <xf numFmtId="3" fontId="17" fillId="0" borderId="26" xfId="11" applyNumberFormat="1" applyFont="1" applyFill="1" applyBorder="1" applyAlignment="1">
      <alignment horizontal="right" vertical="center"/>
    </xf>
    <xf numFmtId="3" fontId="8" fillId="0" borderId="0" xfId="9" applyNumberFormat="1"/>
    <xf numFmtId="0" fontId="27" fillId="3" borderId="26" xfId="10" applyFont="1" applyFill="1" applyBorder="1" applyAlignment="1">
      <alignment vertical="center" wrapText="1"/>
    </xf>
    <xf numFmtId="0" fontId="30" fillId="2" borderId="26" xfId="10" applyFont="1" applyFill="1" applyBorder="1" applyAlignment="1">
      <alignment horizontal="left" vertical="center" wrapText="1"/>
    </xf>
    <xf numFmtId="0" fontId="7" fillId="0" borderId="26" xfId="9" applyFont="1" applyFill="1" applyBorder="1" applyAlignment="1">
      <alignment horizontal="left" vertical="center" wrapText="1"/>
    </xf>
    <xf numFmtId="0" fontId="17" fillId="0" borderId="27" xfId="9" applyFont="1" applyBorder="1" applyAlignment="1">
      <alignment horizontal="center" vertical="center"/>
    </xf>
    <xf numFmtId="0" fontId="29" fillId="3" borderId="26" xfId="10" applyFont="1" applyFill="1" applyBorder="1" applyAlignment="1">
      <alignment horizontal="left" vertical="center" wrapText="1"/>
    </xf>
    <xf numFmtId="3" fontId="7" fillId="0" borderId="26" xfId="11" applyNumberFormat="1" applyFont="1" applyBorder="1" applyAlignment="1">
      <alignment horizontal="right" vertical="center"/>
    </xf>
    <xf numFmtId="0" fontId="8" fillId="0" borderId="0" xfId="9" applyFill="1"/>
    <xf numFmtId="0" fontId="17" fillId="0" borderId="26" xfId="10" applyFont="1" applyFill="1" applyBorder="1" applyAlignment="1">
      <alignment horizontal="left" vertical="center" wrapText="1"/>
    </xf>
    <xf numFmtId="0" fontId="8" fillId="0" borderId="0" xfId="9" applyFont="1"/>
    <xf numFmtId="10" fontId="17" fillId="2" borderId="26" xfId="9" applyNumberFormat="1" applyFont="1" applyFill="1" applyBorder="1" applyAlignment="1">
      <alignment horizontal="right" vertical="center"/>
    </xf>
    <xf numFmtId="0" fontId="8" fillId="2" borderId="0" xfId="9" applyFill="1"/>
    <xf numFmtId="3" fontId="18" fillId="4" borderId="26" xfId="9" applyNumberFormat="1" applyFont="1" applyFill="1" applyBorder="1" applyAlignment="1">
      <alignment horizontal="right" vertical="center"/>
    </xf>
    <xf numFmtId="10" fontId="18" fillId="4" borderId="26" xfId="9" applyNumberFormat="1" applyFont="1" applyFill="1" applyBorder="1" applyAlignment="1">
      <alignment horizontal="right" vertical="center"/>
    </xf>
    <xf numFmtId="0" fontId="9" fillId="0" borderId="0" xfId="9" applyFont="1"/>
    <xf numFmtId="0" fontId="17" fillId="0" borderId="0" xfId="9" applyFont="1" applyAlignment="1">
      <alignment horizontal="center" vertical="center"/>
    </xf>
    <xf numFmtId="0" fontId="17" fillId="0" borderId="0" xfId="9" applyFont="1" applyAlignment="1">
      <alignment horizontal="left" vertical="center"/>
    </xf>
    <xf numFmtId="3" fontId="17" fillId="0" borderId="0" xfId="9" applyNumberFormat="1" applyFont="1" applyAlignment="1">
      <alignment horizontal="right" vertical="center"/>
    </xf>
    <xf numFmtId="3" fontId="10" fillId="0" borderId="0" xfId="9" applyNumberFormat="1" applyFont="1" applyAlignment="1">
      <alignment horizontal="right" vertical="center"/>
    </xf>
    <xf numFmtId="0" fontId="32" fillId="5" borderId="28" xfId="1" applyFont="1" applyFill="1" applyBorder="1" applyAlignment="1">
      <alignment horizontal="center" vertical="center" wrapText="1"/>
    </xf>
    <xf numFmtId="0" fontId="32" fillId="5" borderId="38" xfId="1" applyFont="1" applyFill="1" applyBorder="1" applyAlignment="1">
      <alignment horizontal="center" vertical="center" wrapText="1"/>
    </xf>
    <xf numFmtId="0" fontId="32" fillId="5" borderId="39" xfId="1" applyFont="1" applyFill="1" applyBorder="1" applyAlignment="1">
      <alignment horizontal="center" vertical="center" wrapText="1"/>
    </xf>
    <xf numFmtId="0" fontId="32" fillId="5" borderId="42" xfId="1" applyFont="1" applyFill="1" applyBorder="1" applyAlignment="1">
      <alignment horizontal="center" vertical="center" wrapText="1"/>
    </xf>
    <xf numFmtId="0" fontId="35" fillId="5" borderId="23" xfId="1" applyFont="1" applyFill="1" applyBorder="1" applyAlignment="1">
      <alignment horizontal="center" vertical="center"/>
    </xf>
    <xf numFmtId="0" fontId="35" fillId="5" borderId="23" xfId="1" applyFont="1" applyFill="1" applyBorder="1" applyAlignment="1">
      <alignment horizontal="center" vertical="center" wrapText="1"/>
    </xf>
    <xf numFmtId="0" fontId="35" fillId="5" borderId="20" xfId="1" applyFont="1" applyFill="1" applyBorder="1" applyAlignment="1">
      <alignment horizontal="center" vertical="center"/>
    </xf>
    <xf numFmtId="0" fontId="35" fillId="5" borderId="44" xfId="1" applyFont="1" applyFill="1" applyBorder="1" applyAlignment="1">
      <alignment horizontal="center" vertical="center"/>
    </xf>
    <xf numFmtId="0" fontId="35" fillId="5" borderId="19" xfId="1" applyFont="1" applyFill="1" applyBorder="1" applyAlignment="1">
      <alignment horizontal="center" vertical="center" wrapText="1"/>
    </xf>
    <xf numFmtId="0" fontId="35" fillId="5" borderId="18" xfId="1" applyFont="1" applyFill="1" applyBorder="1" applyAlignment="1">
      <alignment horizontal="center" vertical="center" wrapText="1"/>
    </xf>
    <xf numFmtId="0" fontId="35" fillId="5" borderId="44" xfId="1" applyFont="1" applyFill="1" applyBorder="1" applyAlignment="1">
      <alignment horizontal="center" vertical="center" wrapText="1"/>
    </xf>
    <xf numFmtId="0" fontId="35" fillId="5" borderId="20" xfId="1" applyFont="1" applyFill="1" applyBorder="1" applyAlignment="1">
      <alignment horizontal="center" vertical="center" wrapText="1"/>
    </xf>
    <xf numFmtId="0" fontId="35" fillId="5" borderId="19" xfId="1" applyFont="1" applyFill="1" applyBorder="1" applyAlignment="1">
      <alignment horizontal="center" vertical="center"/>
    </xf>
    <xf numFmtId="0" fontId="35" fillId="5" borderId="17" xfId="1" applyFont="1" applyFill="1" applyBorder="1" applyAlignment="1">
      <alignment horizontal="center" vertical="center" wrapText="1"/>
    </xf>
    <xf numFmtId="0" fontId="35" fillId="5" borderId="17" xfId="1" applyFont="1" applyFill="1" applyBorder="1" applyAlignment="1">
      <alignment horizontal="center" vertical="center"/>
    </xf>
    <xf numFmtId="0" fontId="35" fillId="5" borderId="18" xfId="1" applyFont="1" applyFill="1" applyBorder="1" applyAlignment="1">
      <alignment horizontal="center" vertical="center"/>
    </xf>
    <xf numFmtId="0" fontId="36" fillId="5" borderId="23" xfId="1" applyFont="1" applyFill="1" applyBorder="1" applyAlignment="1">
      <alignment horizontal="center" vertical="center"/>
    </xf>
    <xf numFmtId="0" fontId="31" fillId="0" borderId="0" xfId="1" applyFont="1"/>
    <xf numFmtId="49" fontId="32" fillId="6" borderId="23" xfId="1" applyNumberFormat="1" applyFont="1" applyFill="1" applyBorder="1" applyAlignment="1">
      <alignment horizontal="center" vertical="center"/>
    </xf>
    <xf numFmtId="3" fontId="32" fillId="6" borderId="23" xfId="1" applyNumberFormat="1" applyFont="1" applyFill="1" applyBorder="1" applyAlignment="1">
      <alignment horizontal="right" vertical="center"/>
    </xf>
    <xf numFmtId="3" fontId="32" fillId="6" borderId="10" xfId="1" applyNumberFormat="1" applyFont="1" applyFill="1" applyBorder="1" applyAlignment="1">
      <alignment vertical="center"/>
    </xf>
    <xf numFmtId="3" fontId="32" fillId="6" borderId="23" xfId="1" applyNumberFormat="1" applyFont="1" applyFill="1" applyBorder="1" applyAlignment="1">
      <alignment vertical="center"/>
    </xf>
    <xf numFmtId="3" fontId="32" fillId="6" borderId="11" xfId="1" applyNumberFormat="1" applyFont="1" applyFill="1" applyBorder="1" applyAlignment="1">
      <alignment vertical="center"/>
    </xf>
    <xf numFmtId="3" fontId="32" fillId="6" borderId="45" xfId="1" applyNumberFormat="1" applyFont="1" applyFill="1" applyBorder="1" applyAlignment="1">
      <alignment vertical="center"/>
    </xf>
    <xf numFmtId="3" fontId="32" fillId="6" borderId="22" xfId="1" applyNumberFormat="1" applyFont="1" applyFill="1" applyBorder="1" applyAlignment="1">
      <alignment vertical="center"/>
    </xf>
    <xf numFmtId="10" fontId="33" fillId="6" borderId="23" xfId="1" applyNumberFormat="1" applyFont="1" applyFill="1" applyBorder="1"/>
    <xf numFmtId="0" fontId="1" fillId="7" borderId="0" xfId="1" applyFont="1" applyFill="1"/>
    <xf numFmtId="49" fontId="37" fillId="0" borderId="46" xfId="1" applyNumberFormat="1" applyFont="1" applyFill="1" applyBorder="1" applyAlignment="1">
      <alignment horizontal="center" vertical="center"/>
    </xf>
    <xf numFmtId="3" fontId="37" fillId="0" borderId="46" xfId="1" applyNumberFormat="1" applyFont="1" applyFill="1" applyBorder="1" applyAlignment="1">
      <alignment horizontal="right" vertical="center"/>
    </xf>
    <xf numFmtId="3" fontId="37" fillId="0" borderId="34" xfId="1" applyNumberFormat="1" applyFont="1" applyBorder="1" applyAlignment="1">
      <alignment vertical="center"/>
    </xf>
    <xf numFmtId="3" fontId="37" fillId="0" borderId="46" xfId="1" applyNumberFormat="1" applyFont="1" applyBorder="1" applyAlignment="1">
      <alignment vertical="center"/>
    </xf>
    <xf numFmtId="3" fontId="37" fillId="0" borderId="25" xfId="1" applyNumberFormat="1" applyFont="1" applyFill="1" applyBorder="1" applyAlignment="1">
      <alignment vertical="center"/>
    </xf>
    <xf numFmtId="3" fontId="37" fillId="0" borderId="33" xfId="1" applyNumberFormat="1" applyFont="1" applyFill="1" applyBorder="1" applyAlignment="1">
      <alignment vertical="center"/>
    </xf>
    <xf numFmtId="3" fontId="37" fillId="0" borderId="46" xfId="1" applyNumberFormat="1" applyFont="1" applyFill="1" applyBorder="1" applyAlignment="1">
      <alignment vertical="center"/>
    </xf>
    <xf numFmtId="3" fontId="37" fillId="0" borderId="34" xfId="1" applyNumberFormat="1" applyFont="1" applyFill="1" applyBorder="1" applyAlignment="1">
      <alignment vertical="center"/>
    </xf>
    <xf numFmtId="3" fontId="37" fillId="0" borderId="47" xfId="1" applyNumberFormat="1" applyFont="1" applyFill="1" applyBorder="1" applyAlignment="1">
      <alignment vertical="center"/>
    </xf>
    <xf numFmtId="3" fontId="37" fillId="0" borderId="16" xfId="1" applyNumberFormat="1" applyFont="1" applyFill="1" applyBorder="1" applyAlignment="1">
      <alignment vertical="center"/>
    </xf>
    <xf numFmtId="10" fontId="38" fillId="0" borderId="46" xfId="1" applyNumberFormat="1" applyFont="1" applyFill="1" applyBorder="1"/>
    <xf numFmtId="0" fontId="1" fillId="0" borderId="0" xfId="1" applyFont="1" applyFill="1"/>
    <xf numFmtId="49" fontId="37" fillId="0" borderId="31" xfId="1" applyNumberFormat="1" applyFont="1" applyBorder="1" applyAlignment="1">
      <alignment horizontal="center" vertical="center"/>
    </xf>
    <xf numFmtId="3" fontId="37" fillId="0" borderId="31" xfId="1" applyNumberFormat="1" applyFont="1" applyBorder="1" applyAlignment="1">
      <alignment horizontal="right" vertical="center"/>
    </xf>
    <xf numFmtId="3" fontId="37" fillId="0" borderId="48" xfId="1" applyNumberFormat="1" applyFont="1" applyBorder="1" applyAlignment="1">
      <alignment vertical="center"/>
    </xf>
    <xf numFmtId="3" fontId="37" fillId="0" borderId="31" xfId="1" applyNumberFormat="1" applyFont="1" applyBorder="1" applyAlignment="1">
      <alignment vertical="center"/>
    </xf>
    <xf numFmtId="3" fontId="37" fillId="0" borderId="49" xfId="1" applyNumberFormat="1" applyFont="1" applyBorder="1" applyAlignment="1">
      <alignment vertical="center"/>
    </xf>
    <xf numFmtId="3" fontId="37" fillId="0" borderId="50" xfId="1" applyNumberFormat="1" applyFont="1" applyBorder="1" applyAlignment="1">
      <alignment vertical="center"/>
    </xf>
    <xf numFmtId="3" fontId="37" fillId="0" borderId="26" xfId="1" applyNumberFormat="1" applyFont="1" applyBorder="1" applyAlignment="1">
      <alignment vertical="center"/>
    </xf>
    <xf numFmtId="10" fontId="38" fillId="0" borderId="32" xfId="1" applyNumberFormat="1" applyFont="1" applyFill="1" applyBorder="1"/>
    <xf numFmtId="49" fontId="37" fillId="0" borderId="32" xfId="1" applyNumberFormat="1" applyFont="1" applyBorder="1" applyAlignment="1">
      <alignment horizontal="center" vertical="center"/>
    </xf>
    <xf numFmtId="3" fontId="37" fillId="0" borderId="32" xfId="1" applyNumberFormat="1" applyFont="1" applyBorder="1" applyAlignment="1">
      <alignment horizontal="right" vertical="center"/>
    </xf>
    <xf numFmtId="3" fontId="37" fillId="0" borderId="0" xfId="1" applyNumberFormat="1" applyFont="1" applyBorder="1" applyAlignment="1">
      <alignment vertical="center"/>
    </xf>
    <xf numFmtId="3" fontId="37" fillId="0" borderId="32" xfId="1" applyNumberFormat="1" applyFont="1" applyBorder="1" applyAlignment="1">
      <alignment vertical="center"/>
    </xf>
    <xf numFmtId="3" fontId="37" fillId="0" borderId="6" xfId="1" applyNumberFormat="1" applyFont="1" applyBorder="1" applyAlignment="1">
      <alignment vertical="center"/>
    </xf>
    <xf numFmtId="3" fontId="37" fillId="0" borderId="51" xfId="1" applyNumberFormat="1" applyFont="1" applyBorder="1" applyAlignment="1">
      <alignment vertical="center"/>
    </xf>
    <xf numFmtId="3" fontId="37" fillId="0" borderId="3" xfId="1" applyNumberFormat="1" applyFont="1" applyBorder="1" applyAlignment="1">
      <alignment vertical="center"/>
    </xf>
    <xf numFmtId="49" fontId="37" fillId="0" borderId="31" xfId="1" applyNumberFormat="1" applyFont="1" applyFill="1" applyBorder="1" applyAlignment="1">
      <alignment horizontal="center" vertical="center"/>
    </xf>
    <xf numFmtId="3" fontId="37" fillId="0" borderId="31" xfId="1" applyNumberFormat="1" applyFont="1" applyFill="1" applyBorder="1" applyAlignment="1">
      <alignment horizontal="right" vertical="center"/>
    </xf>
    <xf numFmtId="3" fontId="37" fillId="0" borderId="49" xfId="1" applyNumberFormat="1" applyFont="1" applyFill="1" applyBorder="1" applyAlignment="1">
      <alignment vertical="center"/>
    </xf>
    <xf numFmtId="3" fontId="37" fillId="0" borderId="50" xfId="1" applyNumberFormat="1" applyFont="1" applyFill="1" applyBorder="1" applyAlignment="1">
      <alignment vertical="center"/>
    </xf>
    <xf numFmtId="3" fontId="37" fillId="0" borderId="31" xfId="1" applyNumberFormat="1" applyFont="1" applyFill="1" applyBorder="1" applyAlignment="1">
      <alignment vertical="center"/>
    </xf>
    <xf numFmtId="3" fontId="37" fillId="0" borderId="48" xfId="1" applyNumberFormat="1" applyFont="1" applyFill="1" applyBorder="1" applyAlignment="1">
      <alignment vertical="center"/>
    </xf>
    <xf numFmtId="3" fontId="37" fillId="0" borderId="26" xfId="1" applyNumberFormat="1" applyFont="1" applyFill="1" applyBorder="1" applyAlignment="1">
      <alignment vertical="center"/>
    </xf>
    <xf numFmtId="49" fontId="37" fillId="0" borderId="36" xfId="1" applyNumberFormat="1" applyFont="1" applyBorder="1" applyAlignment="1">
      <alignment horizontal="center" vertical="center"/>
    </xf>
    <xf numFmtId="3" fontId="37" fillId="0" borderId="36" xfId="1" applyNumberFormat="1" applyFont="1" applyBorder="1" applyAlignment="1">
      <alignment horizontal="right" vertical="center"/>
    </xf>
    <xf numFmtId="3" fontId="37" fillId="0" borderId="52" xfId="1" applyNumberFormat="1" applyFont="1" applyBorder="1" applyAlignment="1">
      <alignment vertical="center"/>
    </xf>
    <xf numFmtId="3" fontId="37" fillId="0" borderId="36" xfId="1" applyNumberFormat="1" applyFont="1" applyBorder="1" applyAlignment="1">
      <alignment vertical="center"/>
    </xf>
    <xf numFmtId="3" fontId="37" fillId="0" borderId="53" xfId="1" applyNumberFormat="1" applyFont="1" applyBorder="1" applyAlignment="1">
      <alignment vertical="center"/>
    </xf>
    <xf numFmtId="3" fontId="37" fillId="0" borderId="54" xfId="1" applyNumberFormat="1" applyFont="1" applyBorder="1" applyAlignment="1">
      <alignment vertical="center"/>
    </xf>
    <xf numFmtId="3" fontId="37" fillId="0" borderId="27" xfId="1" applyNumberFormat="1" applyFont="1" applyBorder="1" applyAlignment="1">
      <alignment vertical="center"/>
    </xf>
    <xf numFmtId="49" fontId="37" fillId="0" borderId="46" xfId="1" applyNumberFormat="1" applyFont="1" applyBorder="1" applyAlignment="1">
      <alignment horizontal="center" vertical="center"/>
    </xf>
    <xf numFmtId="3" fontId="37" fillId="0" borderId="46" xfId="1" applyNumberFormat="1" applyFont="1" applyBorder="1" applyAlignment="1">
      <alignment horizontal="right" vertical="center"/>
    </xf>
    <xf numFmtId="3" fontId="37" fillId="0" borderId="25" xfId="1" applyNumberFormat="1" applyFont="1" applyBorder="1" applyAlignment="1">
      <alignment vertical="center"/>
    </xf>
    <xf numFmtId="3" fontId="37" fillId="0" borderId="16" xfId="1" applyNumberFormat="1" applyFont="1" applyBorder="1" applyAlignment="1">
      <alignment vertical="center"/>
    </xf>
    <xf numFmtId="3" fontId="37" fillId="0" borderId="47" xfId="1" applyNumberFormat="1" applyFont="1" applyBorder="1" applyAlignment="1">
      <alignment vertical="center"/>
    </xf>
    <xf numFmtId="3" fontId="32" fillId="6" borderId="9" xfId="1" applyNumberFormat="1" applyFont="1" applyFill="1" applyBorder="1" applyAlignment="1">
      <alignment vertical="center"/>
    </xf>
    <xf numFmtId="3" fontId="32" fillId="6" borderId="24" xfId="1" applyNumberFormat="1" applyFont="1" applyFill="1" applyBorder="1" applyAlignment="1">
      <alignment vertical="center"/>
    </xf>
    <xf numFmtId="49" fontId="37" fillId="0" borderId="37" xfId="1" applyNumberFormat="1" applyFont="1" applyBorder="1" applyAlignment="1">
      <alignment horizontal="center" vertical="center"/>
    </xf>
    <xf numFmtId="3" fontId="37" fillId="0" borderId="37" xfId="1" applyNumberFormat="1" applyFont="1" applyBorder="1" applyAlignment="1">
      <alignment horizontal="right" vertical="center"/>
    </xf>
    <xf numFmtId="3" fontId="37" fillId="0" borderId="37" xfId="1" applyNumberFormat="1" applyFont="1" applyBorder="1" applyAlignment="1">
      <alignment vertical="center"/>
    </xf>
    <xf numFmtId="3" fontId="37" fillId="0" borderId="38" xfId="1" applyNumberFormat="1" applyFont="1" applyBorder="1" applyAlignment="1">
      <alignment vertical="center"/>
    </xf>
    <xf numFmtId="3" fontId="37" fillId="0" borderId="39" xfId="1" applyNumberFormat="1" applyFont="1" applyBorder="1" applyAlignment="1">
      <alignment vertical="center"/>
    </xf>
    <xf numFmtId="3" fontId="37" fillId="0" borderId="40" xfId="1" applyNumberFormat="1" applyFont="1" applyBorder="1" applyAlignment="1">
      <alignment vertical="center"/>
    </xf>
    <xf numFmtId="3" fontId="37" fillId="0" borderId="42" xfId="1" applyNumberFormat="1" applyFont="1" applyBorder="1" applyAlignment="1">
      <alignment vertical="center"/>
    </xf>
    <xf numFmtId="3" fontId="37" fillId="3" borderId="34" xfId="1" applyNumberFormat="1" applyFont="1" applyFill="1" applyBorder="1" applyAlignment="1">
      <alignment vertical="center"/>
    </xf>
    <xf numFmtId="3" fontId="37" fillId="3" borderId="46" xfId="1" applyNumberFormat="1" applyFont="1" applyFill="1" applyBorder="1" applyAlignment="1">
      <alignment vertical="center"/>
    </xf>
    <xf numFmtId="49" fontId="37" fillId="3" borderId="31" xfId="1" applyNumberFormat="1" applyFont="1" applyFill="1" applyBorder="1" applyAlignment="1">
      <alignment horizontal="center" vertical="center"/>
    </xf>
    <xf numFmtId="3" fontId="37" fillId="3" borderId="31" xfId="1" applyNumberFormat="1" applyFont="1" applyFill="1" applyBorder="1" applyAlignment="1">
      <alignment horizontal="right" vertical="center"/>
    </xf>
    <xf numFmtId="3" fontId="37" fillId="3" borderId="48" xfId="1" applyNumberFormat="1" applyFont="1" applyFill="1" applyBorder="1" applyAlignment="1">
      <alignment vertical="center"/>
    </xf>
    <xf numFmtId="3" fontId="37" fillId="3" borderId="31" xfId="1" applyNumberFormat="1" applyFont="1" applyFill="1" applyBorder="1" applyAlignment="1">
      <alignment vertical="center"/>
    </xf>
    <xf numFmtId="3" fontId="37" fillId="3" borderId="49" xfId="1" applyNumberFormat="1" applyFont="1" applyFill="1" applyBorder="1" applyAlignment="1">
      <alignment vertical="center"/>
    </xf>
    <xf numFmtId="3" fontId="37" fillId="3" borderId="50" xfId="1" applyNumberFormat="1" applyFont="1" applyFill="1" applyBorder="1" applyAlignment="1">
      <alignment vertical="center"/>
    </xf>
    <xf numFmtId="3" fontId="37" fillId="3" borderId="26" xfId="1" applyNumberFormat="1" applyFont="1" applyFill="1" applyBorder="1" applyAlignment="1">
      <alignment vertical="center"/>
    </xf>
    <xf numFmtId="0" fontId="1" fillId="3" borderId="0" xfId="1" applyFont="1" applyFill="1"/>
    <xf numFmtId="0" fontId="1" fillId="2" borderId="0" xfId="1" applyFont="1" applyFill="1"/>
    <xf numFmtId="0" fontId="33" fillId="6" borderId="23" xfId="1" applyFont="1" applyFill="1" applyBorder="1" applyAlignment="1">
      <alignment horizontal="center" vertical="center"/>
    </xf>
    <xf numFmtId="3" fontId="33" fillId="6" borderId="23" xfId="1" applyNumberFormat="1" applyFont="1" applyFill="1" applyBorder="1" applyAlignment="1">
      <alignment horizontal="right" vertical="center"/>
    </xf>
    <xf numFmtId="0" fontId="38" fillId="3" borderId="46" xfId="1" applyFont="1" applyFill="1" applyBorder="1" applyAlignment="1">
      <alignment horizontal="center" vertical="center"/>
    </xf>
    <xf numFmtId="3" fontId="38" fillId="3" borderId="46" xfId="1" applyNumberFormat="1" applyFont="1" applyFill="1" applyBorder="1" applyAlignment="1">
      <alignment horizontal="right" vertical="center"/>
    </xf>
    <xf numFmtId="3" fontId="37" fillId="3" borderId="25" xfId="1" applyNumberFormat="1" applyFont="1" applyFill="1" applyBorder="1" applyAlignment="1">
      <alignment vertical="center"/>
    </xf>
    <xf numFmtId="3" fontId="37" fillId="3" borderId="16" xfId="1" applyNumberFormat="1" applyFont="1" applyFill="1" applyBorder="1" applyAlignment="1">
      <alignment vertical="center"/>
    </xf>
    <xf numFmtId="3" fontId="37" fillId="3" borderId="47" xfId="1" applyNumberFormat="1" applyFont="1" applyFill="1" applyBorder="1" applyAlignment="1">
      <alignment vertical="center"/>
    </xf>
    <xf numFmtId="0" fontId="38" fillId="3" borderId="31" xfId="1" applyFont="1" applyFill="1" applyBorder="1" applyAlignment="1">
      <alignment horizontal="center" vertical="center"/>
    </xf>
    <xf numFmtId="3" fontId="38" fillId="3" borderId="31" xfId="1" applyNumberFormat="1" applyFont="1" applyFill="1" applyBorder="1" applyAlignment="1">
      <alignment horizontal="right" vertical="center"/>
    </xf>
    <xf numFmtId="0" fontId="38" fillId="3" borderId="36" xfId="1" applyFont="1" applyFill="1" applyBorder="1" applyAlignment="1">
      <alignment horizontal="center" vertical="center"/>
    </xf>
    <xf numFmtId="3" fontId="38" fillId="3" borderId="36" xfId="1" applyNumberFormat="1" applyFont="1" applyFill="1" applyBorder="1" applyAlignment="1">
      <alignment horizontal="right" vertical="center"/>
    </xf>
    <xf numFmtId="3" fontId="37" fillId="3" borderId="52" xfId="1" applyNumberFormat="1" applyFont="1" applyFill="1" applyBorder="1" applyAlignment="1">
      <alignment vertical="center"/>
    </xf>
    <xf numFmtId="3" fontId="37" fillId="3" borderId="36" xfId="1" applyNumberFormat="1" applyFont="1" applyFill="1" applyBorder="1" applyAlignment="1">
      <alignment vertical="center"/>
    </xf>
    <xf numFmtId="3" fontId="37" fillId="3" borderId="53" xfId="1" applyNumberFormat="1" applyFont="1" applyFill="1" applyBorder="1" applyAlignment="1">
      <alignment vertical="center"/>
    </xf>
    <xf numFmtId="3" fontId="37" fillId="3" borderId="54" xfId="1" applyNumberFormat="1" applyFont="1" applyFill="1" applyBorder="1" applyAlignment="1">
      <alignment vertical="center"/>
    </xf>
    <xf numFmtId="3" fontId="37" fillId="3" borderId="27" xfId="1" applyNumberFormat="1" applyFont="1" applyFill="1" applyBorder="1" applyAlignment="1">
      <alignment vertical="center"/>
    </xf>
    <xf numFmtId="0" fontId="38" fillId="0" borderId="29" xfId="1" applyFont="1" applyFill="1" applyBorder="1" applyAlignment="1">
      <alignment horizontal="center" vertical="center"/>
    </xf>
    <xf numFmtId="3" fontId="38" fillId="0" borderId="29" xfId="1" applyNumberFormat="1" applyFont="1" applyFill="1" applyBorder="1" applyAlignment="1">
      <alignment horizontal="right" vertical="center"/>
    </xf>
    <xf numFmtId="3" fontId="37" fillId="0" borderId="55" xfId="1" applyNumberFormat="1" applyFont="1" applyFill="1" applyBorder="1" applyAlignment="1">
      <alignment vertical="center"/>
    </xf>
    <xf numFmtId="3" fontId="37" fillId="0" borderId="29" xfId="1" applyNumberFormat="1" applyFont="1" applyFill="1" applyBorder="1" applyAlignment="1">
      <alignment vertical="center"/>
    </xf>
    <xf numFmtId="3" fontId="37" fillId="0" borderId="56" xfId="1" applyNumberFormat="1" applyFont="1" applyFill="1" applyBorder="1" applyAlignment="1">
      <alignment vertical="center"/>
    </xf>
    <xf numFmtId="3" fontId="37" fillId="0" borderId="57" xfId="1" applyNumberFormat="1" applyFont="1" applyFill="1" applyBorder="1" applyAlignment="1">
      <alignment vertical="center"/>
    </xf>
    <xf numFmtId="3" fontId="37" fillId="0" borderId="4" xfId="1" applyNumberFormat="1" applyFont="1" applyFill="1" applyBorder="1" applyAlignment="1">
      <alignment vertical="center"/>
    </xf>
    <xf numFmtId="3" fontId="3" fillId="5" borderId="23" xfId="1" applyNumberFormat="1" applyFont="1" applyFill="1" applyBorder="1" applyAlignment="1">
      <alignment horizontal="right" vertical="center"/>
    </xf>
    <xf numFmtId="3" fontId="3" fillId="5" borderId="10" xfId="1" applyNumberFormat="1" applyFont="1" applyFill="1" applyBorder="1" applyAlignment="1">
      <alignment vertical="center"/>
    </xf>
    <xf numFmtId="3" fontId="3" fillId="5" borderId="23" xfId="1" applyNumberFormat="1" applyFont="1" applyFill="1" applyBorder="1" applyAlignment="1">
      <alignment vertical="center"/>
    </xf>
    <xf numFmtId="3" fontId="3" fillId="5" borderId="11" xfId="1" applyNumberFormat="1" applyFont="1" applyFill="1" applyBorder="1" applyAlignment="1">
      <alignment vertical="center"/>
    </xf>
    <xf numFmtId="3" fontId="3" fillId="5" borderId="45" xfId="1" applyNumberFormat="1" applyFont="1" applyFill="1" applyBorder="1" applyAlignment="1">
      <alignment vertical="center"/>
    </xf>
    <xf numFmtId="3" fontId="3" fillId="5" borderId="22" xfId="1" applyNumberFormat="1" applyFont="1" applyFill="1" applyBorder="1" applyAlignment="1">
      <alignment vertical="center"/>
    </xf>
    <xf numFmtId="0" fontId="1" fillId="0" borderId="0" xfId="1" applyFont="1" applyAlignment="1">
      <alignment horizontal="center"/>
    </xf>
    <xf numFmtId="3" fontId="1" fillId="0" borderId="0" xfId="1" applyNumberFormat="1" applyFont="1"/>
    <xf numFmtId="3" fontId="1" fillId="0" borderId="0" xfId="1" applyNumberFormat="1" applyFont="1" applyAlignment="1">
      <alignment horizontal="center"/>
    </xf>
    <xf numFmtId="49" fontId="32" fillId="7" borderId="0" xfId="1" applyNumberFormat="1" applyFont="1" applyFill="1" applyBorder="1" applyAlignment="1">
      <alignment horizontal="center" vertical="center"/>
    </xf>
    <xf numFmtId="3" fontId="32" fillId="7" borderId="0" xfId="1" applyNumberFormat="1" applyFont="1" applyFill="1" applyBorder="1" applyAlignment="1">
      <alignment vertical="center"/>
    </xf>
    <xf numFmtId="49" fontId="37" fillId="0" borderId="0" xfId="1" applyNumberFormat="1" applyFont="1" applyFill="1" applyBorder="1" applyAlignment="1">
      <alignment horizontal="center" vertical="center"/>
    </xf>
    <xf numFmtId="3" fontId="37" fillId="0" borderId="0" xfId="1" applyNumberFormat="1" applyFont="1" applyFill="1" applyBorder="1" applyAlignment="1">
      <alignment vertical="center"/>
    </xf>
    <xf numFmtId="49" fontId="37" fillId="0" borderId="0" xfId="1" applyNumberFormat="1" applyFont="1" applyBorder="1" applyAlignment="1">
      <alignment horizontal="center" vertical="center"/>
    </xf>
    <xf numFmtId="2" fontId="1" fillId="0" borderId="0" xfId="1" applyNumberFormat="1" applyFont="1"/>
    <xf numFmtId="49" fontId="37" fillId="2" borderId="0" xfId="1" applyNumberFormat="1" applyFont="1" applyFill="1" applyBorder="1" applyAlignment="1">
      <alignment horizontal="center" vertical="center"/>
    </xf>
    <xf numFmtId="3" fontId="37" fillId="2" borderId="0" xfId="1" applyNumberFormat="1" applyFont="1" applyFill="1" applyBorder="1" applyAlignment="1">
      <alignment vertical="center"/>
    </xf>
    <xf numFmtId="3" fontId="37" fillId="3" borderId="0" xfId="1" applyNumberFormat="1" applyFont="1" applyFill="1" applyBorder="1" applyAlignment="1">
      <alignment vertical="center"/>
    </xf>
    <xf numFmtId="49" fontId="37" fillId="3" borderId="0" xfId="1" applyNumberFormat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horizontal="center" vertical="center"/>
    </xf>
    <xf numFmtId="0" fontId="33" fillId="7" borderId="0" xfId="1" applyFont="1" applyFill="1" applyBorder="1" applyAlignment="1">
      <alignment horizontal="center" vertical="center"/>
    </xf>
    <xf numFmtId="0" fontId="38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vertical="center"/>
    </xf>
    <xf numFmtId="0" fontId="1" fillId="0" borderId="0" xfId="1" applyFont="1" applyBorder="1"/>
    <xf numFmtId="0" fontId="1" fillId="0" borderId="0" xfId="1" applyAlignment="1">
      <alignment horizontal="center"/>
    </xf>
    <xf numFmtId="0" fontId="40" fillId="0" borderId="0" xfId="0" applyFont="1"/>
    <xf numFmtId="0" fontId="11" fillId="0" borderId="0" xfId="0" applyFont="1" applyAlignment="1">
      <alignment horizontal="center"/>
    </xf>
    <xf numFmtId="0" fontId="7" fillId="0" borderId="0" xfId="1" applyFont="1" applyAlignment="1">
      <alignment horizontal="right"/>
    </xf>
    <xf numFmtId="49" fontId="37" fillId="0" borderId="30" xfId="1" applyNumberFormat="1" applyFont="1" applyBorder="1" applyAlignment="1">
      <alignment horizontal="center" vertical="center"/>
    </xf>
    <xf numFmtId="3" fontId="37" fillId="0" borderId="30" xfId="1" applyNumberFormat="1" applyFont="1" applyBorder="1" applyAlignment="1">
      <alignment horizontal="right" vertical="center"/>
    </xf>
    <xf numFmtId="3" fontId="37" fillId="0" borderId="13" xfId="1" applyNumberFormat="1" applyFont="1" applyBorder="1" applyAlignment="1">
      <alignment vertical="center"/>
    </xf>
    <xf numFmtId="3" fontId="37" fillId="0" borderId="30" xfId="1" applyNumberFormat="1" applyFont="1" applyBorder="1" applyAlignment="1">
      <alignment vertical="center"/>
    </xf>
    <xf numFmtId="3" fontId="37" fillId="0" borderId="14" xfId="1" applyNumberFormat="1" applyFont="1" applyBorder="1" applyAlignment="1">
      <alignment vertical="center"/>
    </xf>
    <xf numFmtId="3" fontId="37" fillId="0" borderId="12" xfId="1" applyNumberFormat="1" applyFont="1" applyBorder="1" applyAlignment="1">
      <alignment vertical="center"/>
    </xf>
    <xf numFmtId="3" fontId="37" fillId="0" borderId="2" xfId="1" applyNumberFormat="1" applyFont="1" applyBorder="1" applyAlignment="1">
      <alignment vertical="center"/>
    </xf>
    <xf numFmtId="10" fontId="38" fillId="0" borderId="30" xfId="1" applyNumberFormat="1" applyFont="1" applyFill="1" applyBorder="1"/>
    <xf numFmtId="0" fontId="1" fillId="0" borderId="13" xfId="1" applyFont="1" applyBorder="1"/>
    <xf numFmtId="0" fontId="6" fillId="0" borderId="0" xfId="4"/>
    <xf numFmtId="0" fontId="41" fillId="8" borderId="0" xfId="5" applyFont="1" applyFill="1" applyBorder="1" applyAlignment="1">
      <alignment horizontal="center" vertical="center" wrapText="1"/>
    </xf>
    <xf numFmtId="0" fontId="42" fillId="0" borderId="0" xfId="5" applyFont="1" applyBorder="1" applyAlignment="1">
      <alignment horizontal="right" vertical="center" wrapText="1"/>
    </xf>
    <xf numFmtId="3" fontId="6" fillId="0" borderId="0" xfId="4" applyNumberFormat="1"/>
    <xf numFmtId="49" fontId="37" fillId="0" borderId="32" xfId="1" applyNumberFormat="1" applyFont="1" applyBorder="1" applyAlignment="1">
      <alignment horizontal="center" vertical="center"/>
    </xf>
    <xf numFmtId="49" fontId="37" fillId="0" borderId="36" xfId="1" applyNumberFormat="1" applyFont="1" applyBorder="1" applyAlignment="1">
      <alignment horizontal="center" vertical="center"/>
    </xf>
    <xf numFmtId="3" fontId="37" fillId="3" borderId="33" xfId="1" applyNumberFormat="1" applyFont="1" applyFill="1" applyBorder="1" applyAlignment="1">
      <alignment vertical="center"/>
    </xf>
    <xf numFmtId="49" fontId="37" fillId="0" borderId="46" xfId="1" applyNumberFormat="1" applyFont="1" applyBorder="1" applyAlignment="1">
      <alignment horizontal="center" vertical="center"/>
    </xf>
    <xf numFmtId="49" fontId="37" fillId="0" borderId="31" xfId="1" applyNumberFormat="1" applyFont="1" applyBorder="1" applyAlignment="1">
      <alignment horizontal="center" vertical="center"/>
    </xf>
    <xf numFmtId="10" fontId="39" fillId="5" borderId="23" xfId="1" applyNumberFormat="1" applyFont="1" applyFill="1" applyBorder="1" applyAlignment="1">
      <alignment vertical="center"/>
    </xf>
    <xf numFmtId="3" fontId="37" fillId="0" borderId="59" xfId="1" applyNumberFormat="1" applyFont="1" applyBorder="1" applyAlignment="1">
      <alignment vertical="center"/>
    </xf>
    <xf numFmtId="3" fontId="37" fillId="0" borderId="7" xfId="1" applyNumberFormat="1" applyFont="1" applyBorder="1" applyAlignment="1">
      <alignment vertical="center"/>
    </xf>
    <xf numFmtId="3" fontId="37" fillId="0" borderId="60" xfId="1" applyNumberFormat="1" applyFont="1" applyBorder="1" applyAlignment="1">
      <alignment vertical="center"/>
    </xf>
    <xf numFmtId="3" fontId="37" fillId="0" borderId="5" xfId="1" applyNumberFormat="1" applyFont="1" applyBorder="1" applyAlignment="1">
      <alignment vertical="center"/>
    </xf>
    <xf numFmtId="3" fontId="37" fillId="0" borderId="61" xfId="1" applyNumberFormat="1" applyFont="1" applyBorder="1" applyAlignment="1">
      <alignment vertical="center"/>
    </xf>
    <xf numFmtId="49" fontId="21" fillId="3" borderId="26" xfId="9" applyNumberFormat="1" applyFont="1" applyFill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0" fontId="21" fillId="0" borderId="61" xfId="0" applyFont="1" applyBorder="1" applyAlignment="1">
      <alignment horizontal="left" vertical="center" wrapText="1"/>
    </xf>
    <xf numFmtId="3" fontId="21" fillId="0" borderId="61" xfId="0" applyNumberFormat="1" applyFont="1" applyBorder="1" applyAlignment="1">
      <alignment horizontal="right" vertical="center"/>
    </xf>
    <xf numFmtId="0" fontId="23" fillId="0" borderId="0" xfId="0" applyFont="1"/>
    <xf numFmtId="0" fontId="17" fillId="0" borderId="61" xfId="0" applyFont="1" applyFill="1" applyBorder="1" applyAlignment="1">
      <alignment horizontal="left" vertical="center" wrapText="1"/>
    </xf>
    <xf numFmtId="3" fontId="17" fillId="0" borderId="61" xfId="0" applyNumberFormat="1" applyFont="1" applyBorder="1" applyAlignment="1">
      <alignment horizontal="right" vertical="center"/>
    </xf>
    <xf numFmtId="10" fontId="17" fillId="0" borderId="61" xfId="0" applyNumberFormat="1" applyFont="1" applyBorder="1" applyAlignment="1">
      <alignment horizontal="right" vertical="center"/>
    </xf>
    <xf numFmtId="3" fontId="17" fillId="0" borderId="61" xfId="9" applyNumberFormat="1" applyFont="1" applyBorder="1" applyAlignment="1">
      <alignment horizontal="right" vertical="center"/>
    </xf>
    <xf numFmtId="10" fontId="17" fillId="0" borderId="61" xfId="9" applyNumberFormat="1" applyFont="1" applyBorder="1" applyAlignment="1">
      <alignment horizontal="right" vertical="center"/>
    </xf>
    <xf numFmtId="49" fontId="21" fillId="0" borderId="61" xfId="9" applyNumberFormat="1" applyFont="1" applyBorder="1" applyAlignment="1">
      <alignment horizontal="center" vertical="center"/>
    </xf>
    <xf numFmtId="49" fontId="21" fillId="0" borderId="47" xfId="9" applyNumberFormat="1" applyFont="1" applyBorder="1" applyAlignment="1">
      <alignment horizontal="center" vertical="center"/>
    </xf>
    <xf numFmtId="0" fontId="7" fillId="0" borderId="61" xfId="10" applyFont="1" applyBorder="1" applyAlignment="1">
      <alignment horizontal="left" vertical="center" wrapText="1"/>
    </xf>
    <xf numFmtId="49" fontId="18" fillId="2" borderId="61" xfId="9" applyNumberFormat="1" applyFont="1" applyFill="1" applyBorder="1" applyAlignment="1">
      <alignment horizontal="center" vertical="center"/>
    </xf>
    <xf numFmtId="0" fontId="3" fillId="2" borderId="61" xfId="10" applyFont="1" applyFill="1" applyBorder="1" applyAlignment="1">
      <alignment horizontal="left" vertical="center" wrapText="1"/>
    </xf>
    <xf numFmtId="3" fontId="18" fillId="2" borderId="61" xfId="9" applyNumberFormat="1" applyFont="1" applyFill="1" applyBorder="1" applyAlignment="1">
      <alignment horizontal="right" vertical="center"/>
    </xf>
    <xf numFmtId="10" fontId="18" fillId="2" borderId="61" xfId="9" applyNumberFormat="1" applyFont="1" applyFill="1" applyBorder="1" applyAlignment="1">
      <alignment horizontal="right" vertical="center"/>
    </xf>
    <xf numFmtId="0" fontId="28" fillId="0" borderId="61" xfId="10" applyFont="1" applyFill="1" applyBorder="1" applyAlignment="1">
      <alignment horizontal="left" vertical="center" wrapText="1"/>
    </xf>
    <xf numFmtId="3" fontId="21" fillId="0" borderId="61" xfId="9" applyNumberFormat="1" applyFont="1" applyBorder="1" applyAlignment="1">
      <alignment horizontal="right" vertical="center"/>
    </xf>
    <xf numFmtId="10" fontId="21" fillId="0" borderId="61" xfId="9" applyNumberFormat="1" applyFont="1" applyBorder="1" applyAlignment="1">
      <alignment horizontal="right" vertical="center"/>
    </xf>
    <xf numFmtId="3" fontId="7" fillId="0" borderId="61" xfId="9" applyNumberFormat="1" applyFont="1" applyBorder="1" applyAlignment="1">
      <alignment horizontal="right" vertical="center"/>
    </xf>
    <xf numFmtId="0" fontId="21" fillId="0" borderId="26" xfId="9" applyFont="1" applyBorder="1" applyAlignment="1">
      <alignment horizontal="center" vertical="center"/>
    </xf>
    <xf numFmtId="10" fontId="18" fillId="3" borderId="26" xfId="9" applyNumberFormat="1" applyFont="1" applyFill="1" applyBorder="1" applyAlignment="1">
      <alignment horizontal="right" vertical="center"/>
    </xf>
    <xf numFmtId="0" fontId="21" fillId="0" borderId="26" xfId="9" applyFont="1" applyBorder="1" applyAlignment="1">
      <alignment horizontal="center" vertical="center"/>
    </xf>
    <xf numFmtId="0" fontId="17" fillId="0" borderId="26" xfId="9" applyFont="1" applyBorder="1" applyAlignment="1">
      <alignment horizontal="center" vertical="center"/>
    </xf>
    <xf numFmtId="0" fontId="18" fillId="3" borderId="61" xfId="9" applyFont="1" applyFill="1" applyBorder="1" applyAlignment="1">
      <alignment horizontal="center" vertical="center"/>
    </xf>
    <xf numFmtId="49" fontId="21" fillId="3" borderId="27" xfId="9" applyNumberFormat="1" applyFont="1" applyFill="1" applyBorder="1" applyAlignment="1">
      <alignment horizontal="center" vertical="center"/>
    </xf>
    <xf numFmtId="0" fontId="21" fillId="0" borderId="26" xfId="9" applyFont="1" applyBorder="1" applyAlignment="1">
      <alignment horizontal="center" vertical="center"/>
    </xf>
    <xf numFmtId="0" fontId="21" fillId="0" borderId="61" xfId="9" applyFont="1" applyBorder="1" applyAlignment="1">
      <alignment horizontal="center" vertical="center"/>
    </xf>
    <xf numFmtId="0" fontId="0" fillId="0" borderId="0" xfId="9" applyFont="1"/>
    <xf numFmtId="0" fontId="19" fillId="0" borderId="26" xfId="9" applyFont="1" applyBorder="1" applyAlignment="1">
      <alignment horizontal="center" vertical="center"/>
    </xf>
    <xf numFmtId="49" fontId="37" fillId="3" borderId="31" xfId="1" applyNumberFormat="1" applyFont="1" applyFill="1" applyBorder="1" applyAlignment="1">
      <alignment horizontal="center" vertical="center"/>
    </xf>
    <xf numFmtId="0" fontId="43" fillId="5" borderId="23" xfId="5" applyFont="1" applyFill="1" applyBorder="1" applyAlignment="1">
      <alignment horizontal="center" vertical="center"/>
    </xf>
    <xf numFmtId="10" fontId="38" fillId="3" borderId="46" xfId="1" applyNumberFormat="1" applyFont="1" applyFill="1" applyBorder="1"/>
    <xf numFmtId="0" fontId="15" fillId="0" borderId="0" xfId="4" applyFont="1"/>
    <xf numFmtId="0" fontId="45" fillId="0" borderId="0" xfId="4" applyFont="1"/>
    <xf numFmtId="3" fontId="0" fillId="0" borderId="0" xfId="0" applyNumberFormat="1"/>
    <xf numFmtId="3" fontId="43" fillId="5" borderId="23" xfId="5" applyNumberFormat="1" applyFont="1" applyFill="1" applyBorder="1" applyAlignment="1">
      <alignment horizontal="right" vertical="center"/>
    </xf>
    <xf numFmtId="3" fontId="46" fillId="0" borderId="37" xfId="5" applyNumberFormat="1" applyFont="1" applyFill="1" applyBorder="1" applyAlignment="1">
      <alignment vertical="center"/>
    </xf>
    <xf numFmtId="3" fontId="46" fillId="0" borderId="52" xfId="5" applyNumberFormat="1" applyFont="1" applyFill="1" applyBorder="1" applyAlignment="1">
      <alignment vertical="center"/>
    </xf>
    <xf numFmtId="3" fontId="40" fillId="0" borderId="37" xfId="4" applyNumberFormat="1" applyFont="1" applyBorder="1" applyAlignment="1">
      <alignment vertical="center"/>
    </xf>
    <xf numFmtId="0" fontId="46" fillId="8" borderId="54" xfId="12" applyFont="1" applyFill="1" applyBorder="1" applyAlignment="1">
      <alignment horizontal="left" vertical="center"/>
    </xf>
    <xf numFmtId="0" fontId="15" fillId="0" borderId="37" xfId="4" applyFont="1" applyBorder="1" applyAlignment="1">
      <alignment horizontal="center" vertical="center"/>
    </xf>
    <xf numFmtId="3" fontId="46" fillId="0" borderId="31" xfId="5" applyNumberFormat="1" applyFont="1" applyFill="1" applyBorder="1" applyAlignment="1">
      <alignment vertical="center"/>
    </xf>
    <xf numFmtId="3" fontId="46" fillId="0" borderId="48" xfId="5" applyNumberFormat="1" applyFont="1" applyFill="1" applyBorder="1" applyAlignment="1">
      <alignment vertical="center"/>
    </xf>
    <xf numFmtId="3" fontId="40" fillId="0" borderId="31" xfId="4" applyNumberFormat="1" applyFont="1" applyBorder="1" applyAlignment="1">
      <alignment vertical="center"/>
    </xf>
    <xf numFmtId="0" fontId="46" fillId="8" borderId="60" xfId="12" applyFont="1" applyFill="1" applyBorder="1" applyAlignment="1">
      <alignment horizontal="left" vertical="center"/>
    </xf>
    <xf numFmtId="0" fontId="15" fillId="0" borderId="31" xfId="4" applyFont="1" applyBorder="1" applyAlignment="1">
      <alignment horizontal="center" vertical="center"/>
    </xf>
    <xf numFmtId="0" fontId="46" fillId="8" borderId="60" xfId="12" applyFont="1" applyFill="1" applyBorder="1" applyAlignment="1">
      <alignment horizontal="left" vertical="center" wrapText="1"/>
    </xf>
    <xf numFmtId="0" fontId="46" fillId="8" borderId="31" xfId="12" applyFont="1" applyFill="1" applyBorder="1" applyAlignment="1">
      <alignment horizontal="center" vertical="center" wrapText="1"/>
    </xf>
    <xf numFmtId="0" fontId="46" fillId="8" borderId="31" xfId="12" applyFont="1" applyFill="1" applyBorder="1" applyAlignment="1">
      <alignment horizontal="center" vertical="center"/>
    </xf>
    <xf numFmtId="4" fontId="6" fillId="0" borderId="0" xfId="4" applyNumberFormat="1"/>
    <xf numFmtId="3" fontId="40" fillId="0" borderId="0" xfId="4" applyNumberFormat="1" applyFont="1"/>
    <xf numFmtId="3" fontId="46" fillId="0" borderId="29" xfId="5" applyNumberFormat="1" applyFont="1" applyFill="1" applyBorder="1" applyAlignment="1">
      <alignment vertical="center"/>
    </xf>
    <xf numFmtId="3" fontId="46" fillId="0" borderId="34" xfId="5" applyNumberFormat="1" applyFont="1" applyFill="1" applyBorder="1" applyAlignment="1">
      <alignment vertical="center"/>
    </xf>
    <xf numFmtId="3" fontId="40" fillId="0" borderId="29" xfId="4" applyNumberFormat="1" applyFont="1" applyBorder="1" applyAlignment="1">
      <alignment vertical="center"/>
    </xf>
    <xf numFmtId="0" fontId="46" fillId="8" borderId="33" xfId="12" applyFont="1" applyFill="1" applyBorder="1" applyAlignment="1">
      <alignment horizontal="left" vertical="center" wrapText="1"/>
    </xf>
    <xf numFmtId="0" fontId="15" fillId="0" borderId="29" xfId="4" applyFont="1" applyBorder="1" applyAlignment="1">
      <alignment horizontal="center" vertical="center"/>
    </xf>
    <xf numFmtId="0" fontId="47" fillId="5" borderId="23" xfId="5" applyFont="1" applyFill="1" applyBorder="1" applyAlignment="1">
      <alignment horizontal="center" vertical="center"/>
    </xf>
    <xf numFmtId="0" fontId="11" fillId="5" borderId="23" xfId="4" applyFont="1" applyFill="1" applyBorder="1" applyAlignment="1">
      <alignment horizontal="center"/>
    </xf>
    <xf numFmtId="0" fontId="15" fillId="5" borderId="23" xfId="4" applyFont="1" applyFill="1" applyBorder="1" applyAlignment="1">
      <alignment horizontal="center" vertical="center"/>
    </xf>
    <xf numFmtId="4" fontId="49" fillId="5" borderId="23" xfId="0" applyNumberFormat="1" applyFont="1" applyFill="1" applyBorder="1" applyAlignment="1">
      <alignment horizontal="right" vertical="center"/>
    </xf>
    <xf numFmtId="3" fontId="49" fillId="5" borderId="10" xfId="0" applyNumberFormat="1" applyFont="1" applyFill="1" applyBorder="1" applyAlignment="1">
      <alignment horizontal="right" vertical="center"/>
    </xf>
    <xf numFmtId="3" fontId="49" fillId="5" borderId="23" xfId="0" applyNumberFormat="1" applyFont="1" applyFill="1" applyBorder="1" applyAlignment="1">
      <alignment horizontal="right" vertical="center"/>
    </xf>
    <xf numFmtId="0" fontId="50" fillId="5" borderId="9" xfId="0" applyFont="1" applyFill="1" applyBorder="1" applyAlignment="1">
      <alignment horizontal="center" vertical="center"/>
    </xf>
    <xf numFmtId="4" fontId="44" fillId="0" borderId="31" xfId="0" applyNumberFormat="1" applyFont="1" applyBorder="1" applyAlignment="1">
      <alignment horizontal="right" vertical="center"/>
    </xf>
    <xf numFmtId="3" fontId="44" fillId="0" borderId="48" xfId="0" applyNumberFormat="1" applyFont="1" applyBorder="1" applyAlignment="1">
      <alignment horizontal="right" vertical="center"/>
    </xf>
    <xf numFmtId="3" fontId="44" fillId="0" borderId="31" xfId="0" applyNumberFormat="1" applyFont="1" applyBorder="1" applyAlignment="1">
      <alignment horizontal="right" vertical="center"/>
    </xf>
    <xf numFmtId="0" fontId="10" fillId="0" borderId="58" xfId="0" applyFont="1" applyBorder="1" applyAlignment="1">
      <alignment horizontal="left" vertical="center"/>
    </xf>
    <xf numFmtId="3" fontId="44" fillId="0" borderId="48" xfId="0" applyNumberFormat="1" applyFont="1" applyBorder="1" applyAlignment="1">
      <alignment wrapText="1"/>
    </xf>
    <xf numFmtId="0" fontId="51" fillId="0" borderId="31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0" fillId="5" borderId="29" xfId="0" applyFont="1" applyFill="1" applyBorder="1" applyAlignment="1">
      <alignment horizontal="center" vertical="center" wrapText="1"/>
    </xf>
    <xf numFmtId="0" fontId="50" fillId="5" borderId="55" xfId="0" applyFont="1" applyFill="1" applyBorder="1" applyAlignment="1">
      <alignment horizontal="center" vertical="center"/>
    </xf>
    <xf numFmtId="0" fontId="50" fillId="5" borderId="29" xfId="0" applyFont="1" applyFill="1" applyBorder="1" applyAlignment="1">
      <alignment horizontal="center" vertical="center"/>
    </xf>
    <xf numFmtId="0" fontId="50" fillId="5" borderId="62" xfId="0" applyFont="1" applyFill="1" applyBorder="1" applyAlignment="1">
      <alignment horizontal="center" vertical="center"/>
    </xf>
    <xf numFmtId="2" fontId="49" fillId="5" borderId="23" xfId="0" applyNumberFormat="1" applyFont="1" applyFill="1" applyBorder="1" applyAlignment="1">
      <alignment horizontal="right" vertical="center"/>
    </xf>
    <xf numFmtId="2" fontId="44" fillId="0" borderId="31" xfId="0" applyNumberFormat="1" applyFont="1" applyBorder="1" applyAlignment="1">
      <alignment horizontal="right" vertical="center"/>
    </xf>
    <xf numFmtId="3" fontId="52" fillId="0" borderId="48" xfId="0" applyNumberFormat="1" applyFont="1" applyBorder="1" applyAlignment="1">
      <alignment wrapText="1"/>
    </xf>
    <xf numFmtId="3" fontId="44" fillId="0" borderId="31" xfId="0" applyNumberFormat="1" applyFont="1" applyBorder="1" applyAlignment="1">
      <alignment wrapText="1"/>
    </xf>
    <xf numFmtId="0" fontId="1" fillId="6" borderId="0" xfId="1" applyFont="1" applyFill="1"/>
    <xf numFmtId="10" fontId="18" fillId="4" borderId="52" xfId="9" applyNumberFormat="1" applyFont="1" applyFill="1" applyBorder="1" applyAlignment="1">
      <alignment horizontal="right" vertical="center"/>
    </xf>
    <xf numFmtId="0" fontId="1" fillId="0" borderId="0" xfId="1" applyFill="1"/>
    <xf numFmtId="0" fontId="53" fillId="0" borderId="0" xfId="1" applyFont="1" applyFill="1"/>
    <xf numFmtId="0" fontId="2" fillId="0" borderId="0" xfId="1" applyFont="1" applyAlignment="1">
      <alignment horizontal="left" indent="1"/>
    </xf>
    <xf numFmtId="0" fontId="1" fillId="0" borderId="0" xfId="1" applyBorder="1" applyAlignment="1">
      <alignment wrapText="1"/>
    </xf>
    <xf numFmtId="4" fontId="54" fillId="0" borderId="0" xfId="1" applyNumberFormat="1" applyFont="1" applyBorder="1" applyAlignment="1">
      <alignment vertical="top" wrapText="1"/>
    </xf>
    <xf numFmtId="0" fontId="55" fillId="0" borderId="0" xfId="1" applyFont="1" applyBorder="1" applyAlignment="1">
      <alignment vertical="top" wrapText="1"/>
    </xf>
    <xf numFmtId="4" fontId="56" fillId="0" borderId="0" xfId="1" applyNumberFormat="1" applyFont="1" applyBorder="1" applyAlignment="1">
      <alignment vertical="top" wrapText="1"/>
    </xf>
    <xf numFmtId="0" fontId="56" fillId="0" borderId="0" xfId="1" applyFont="1" applyBorder="1" applyAlignment="1">
      <alignment vertical="top" wrapText="1"/>
    </xf>
    <xf numFmtId="0" fontId="56" fillId="0" borderId="0" xfId="1" quotePrefix="1" applyFont="1" applyBorder="1" applyAlignment="1">
      <alignment vertical="top" wrapText="1"/>
    </xf>
    <xf numFmtId="0" fontId="2" fillId="0" borderId="0" xfId="1" applyFont="1" applyBorder="1" applyAlignment="1">
      <alignment horizontal="center" wrapText="1"/>
    </xf>
    <xf numFmtId="0" fontId="57" fillId="0" borderId="0" xfId="1" applyFont="1" applyBorder="1" applyAlignment="1">
      <alignment horizontal="center" wrapText="1"/>
    </xf>
    <xf numFmtId="0" fontId="58" fillId="0" borderId="0" xfId="1" applyFont="1" applyAlignment="1">
      <alignment horizontal="left" indent="3"/>
    </xf>
    <xf numFmtId="10" fontId="54" fillId="9" borderId="24" xfId="1" applyNumberFormat="1" applyFont="1" applyFill="1" applyBorder="1" applyAlignment="1">
      <alignment horizontal="right" vertical="center" wrapText="1"/>
    </xf>
    <xf numFmtId="3" fontId="54" fillId="9" borderId="11" xfId="1" applyNumberFormat="1" applyFont="1" applyFill="1" applyBorder="1" applyAlignment="1">
      <alignment horizontal="right" vertical="center" wrapText="1"/>
    </xf>
    <xf numFmtId="10" fontId="56" fillId="0" borderId="63" xfId="1" applyNumberFormat="1" applyFont="1" applyBorder="1" applyAlignment="1">
      <alignment vertical="center" wrapText="1"/>
    </xf>
    <xf numFmtId="3" fontId="56" fillId="0" borderId="25" xfId="1" applyNumberFormat="1" applyFont="1" applyBorder="1" applyAlignment="1">
      <alignment vertical="center" wrapText="1"/>
    </xf>
    <xf numFmtId="0" fontId="56" fillId="0" borderId="25" xfId="1" applyFont="1" applyBorder="1" applyAlignment="1">
      <alignment vertical="center" wrapText="1"/>
    </xf>
    <xf numFmtId="0" fontId="59" fillId="0" borderId="25" xfId="1" quotePrefix="1" applyFont="1" applyBorder="1" applyAlignment="1">
      <alignment horizontal="center" vertical="center" wrapText="1"/>
    </xf>
    <xf numFmtId="0" fontId="59" fillId="0" borderId="8" xfId="1" applyFont="1" applyBorder="1" applyAlignment="1">
      <alignment horizontal="center" vertical="center" wrapText="1"/>
    </xf>
    <xf numFmtId="0" fontId="59" fillId="0" borderId="65" xfId="1" applyFont="1" applyBorder="1" applyAlignment="1">
      <alignment horizontal="center" vertical="center" wrapText="1"/>
    </xf>
    <xf numFmtId="0" fontId="59" fillId="0" borderId="64" xfId="1" quotePrefix="1" applyFont="1" applyBorder="1" applyAlignment="1">
      <alignment horizontal="center" vertical="center" wrapText="1"/>
    </xf>
    <xf numFmtId="0" fontId="59" fillId="0" borderId="49" xfId="1" quotePrefix="1" applyFont="1" applyBorder="1" applyAlignment="1">
      <alignment horizontal="center" vertical="center" wrapText="1"/>
    </xf>
    <xf numFmtId="0" fontId="59" fillId="0" borderId="5" xfId="1" quotePrefix="1" applyFont="1" applyBorder="1" applyAlignment="1">
      <alignment horizontal="center" vertical="center" wrapText="1"/>
    </xf>
    <xf numFmtId="49" fontId="59" fillId="0" borderId="61" xfId="1" applyNumberFormat="1" applyFont="1" applyBorder="1" applyAlignment="1">
      <alignment horizontal="center" vertical="center" wrapText="1"/>
    </xf>
    <xf numFmtId="49" fontId="59" fillId="0" borderId="25" xfId="1" applyNumberFormat="1" applyFont="1" applyBorder="1" applyAlignment="1">
      <alignment horizontal="center" vertical="center" wrapText="1"/>
    </xf>
    <xf numFmtId="0" fontId="32" fillId="0" borderId="66" xfId="1" applyFont="1" applyBorder="1" applyAlignment="1">
      <alignment horizontal="center" vertical="top" wrapText="1"/>
    </xf>
    <xf numFmtId="0" fontId="32" fillId="0" borderId="4" xfId="1" applyFont="1" applyBorder="1" applyAlignment="1">
      <alignment horizontal="center" vertical="top" wrapText="1"/>
    </xf>
    <xf numFmtId="0" fontId="32" fillId="0" borderId="67" xfId="1" applyFont="1" applyBorder="1" applyAlignment="1">
      <alignment horizontal="center" vertical="top" wrapText="1"/>
    </xf>
    <xf numFmtId="0" fontId="57" fillId="9" borderId="68" xfId="1" applyFont="1" applyFill="1" applyBorder="1" applyAlignment="1">
      <alignment horizontal="center" vertical="center" wrapText="1"/>
    </xf>
    <xf numFmtId="0" fontId="57" fillId="9" borderId="6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indent="3"/>
    </xf>
    <xf numFmtId="0" fontId="57" fillId="0" borderId="0" xfId="1" applyFont="1" applyAlignment="1">
      <alignment horizontal="left" indent="3"/>
    </xf>
    <xf numFmtId="0" fontId="57" fillId="0" borderId="0" xfId="1" applyFont="1" applyAlignment="1">
      <alignment horizontal="center"/>
    </xf>
    <xf numFmtId="0" fontId="54" fillId="0" borderId="0" xfId="1" applyFont="1" applyAlignment="1">
      <alignment horizontal="center"/>
    </xf>
    <xf numFmtId="4" fontId="1" fillId="0" borderId="0" xfId="1" applyNumberFormat="1"/>
    <xf numFmtId="4" fontId="38" fillId="0" borderId="0" xfId="1" applyNumberFormat="1" applyFont="1"/>
    <xf numFmtId="10" fontId="62" fillId="9" borderId="22" xfId="1" applyNumberFormat="1" applyFont="1" applyFill="1" applyBorder="1" applyAlignment="1">
      <alignment horizontal="center" vertical="center" wrapText="1"/>
    </xf>
    <xf numFmtId="10" fontId="62" fillId="9" borderId="21" xfId="1" applyNumberFormat="1" applyFont="1" applyFill="1" applyBorder="1" applyAlignment="1">
      <alignment horizontal="right" vertical="center" wrapText="1"/>
    </xf>
    <xf numFmtId="3" fontId="54" fillId="9" borderId="22" xfId="1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56" fillId="0" borderId="25" xfId="1" applyFont="1" applyBorder="1" applyAlignment="1">
      <alignment vertical="top" wrapText="1"/>
    </xf>
    <xf numFmtId="0" fontId="56" fillId="0" borderId="25" xfId="1" quotePrefix="1" applyFont="1" applyBorder="1" applyAlignment="1">
      <alignment horizontal="center" vertical="center" wrapText="1"/>
    </xf>
    <xf numFmtId="0" fontId="56" fillId="0" borderId="8" xfId="1" applyFont="1" applyBorder="1" applyAlignment="1">
      <alignment horizontal="center" vertical="center" wrapText="1"/>
    </xf>
    <xf numFmtId="0" fontId="63" fillId="0" borderId="0" xfId="1" applyFont="1"/>
    <xf numFmtId="0" fontId="63" fillId="0" borderId="0" xfId="1" applyFont="1" applyAlignment="1">
      <alignment wrapText="1"/>
    </xf>
    <xf numFmtId="0" fontId="56" fillId="0" borderId="64" xfId="1" quotePrefix="1" applyFont="1" applyBorder="1" applyAlignment="1">
      <alignment horizontal="center" vertical="center" wrapText="1"/>
    </xf>
    <xf numFmtId="0" fontId="56" fillId="0" borderId="5" xfId="1" quotePrefix="1" applyFont="1" applyBorder="1" applyAlignment="1">
      <alignment horizontal="center" vertical="center" wrapText="1"/>
    </xf>
    <xf numFmtId="49" fontId="56" fillId="0" borderId="25" xfId="1" applyNumberFormat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57" fillId="9" borderId="71" xfId="1" applyFont="1" applyFill="1" applyBorder="1" applyAlignment="1">
      <alignment horizontal="center" vertical="center" wrapText="1"/>
    </xf>
    <xf numFmtId="0" fontId="57" fillId="9" borderId="19" xfId="1" applyFont="1" applyFill="1" applyBorder="1" applyAlignment="1">
      <alignment horizontal="center" vertical="center" wrapText="1"/>
    </xf>
    <xf numFmtId="0" fontId="57" fillId="9" borderId="72" xfId="1" applyFont="1" applyFill="1" applyBorder="1" applyAlignment="1">
      <alignment horizontal="center" vertical="center" wrapText="1"/>
    </xf>
    <xf numFmtId="0" fontId="57" fillId="9" borderId="75" xfId="1" applyFont="1" applyFill="1" applyBorder="1" applyAlignment="1">
      <alignment horizontal="center" vertical="center" wrapText="1"/>
    </xf>
    <xf numFmtId="0" fontId="56" fillId="0" borderId="0" xfId="1" applyFont="1"/>
    <xf numFmtId="0" fontId="62" fillId="0" borderId="0" xfId="1" applyFont="1" applyAlignment="1">
      <alignment horizontal="left" indent="3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3" fillId="0" borderId="0" xfId="1" applyFont="1" applyFill="1" applyAlignment="1">
      <alignment vertical="center"/>
    </xf>
    <xf numFmtId="3" fontId="1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4" fontId="54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>
      <alignment vertical="center" wrapText="1"/>
    </xf>
    <xf numFmtId="0" fontId="65" fillId="0" borderId="0" xfId="1" applyFont="1" applyFill="1" applyBorder="1" applyAlignment="1">
      <alignment vertical="center" wrapText="1"/>
    </xf>
    <xf numFmtId="3" fontId="66" fillId="0" borderId="61" xfId="1" applyNumberFormat="1" applyFont="1" applyFill="1" applyBorder="1" applyAlignment="1">
      <alignment horizontal="right" vertical="center" wrapText="1"/>
    </xf>
    <xf numFmtId="3" fontId="46" fillId="0" borderId="61" xfId="1" applyNumberFormat="1" applyFont="1" applyFill="1" applyBorder="1" applyAlignment="1">
      <alignment horizontal="right" vertical="center" wrapText="1"/>
    </xf>
    <xf numFmtId="0" fontId="46" fillId="0" borderId="61" xfId="1" applyFont="1" applyFill="1" applyBorder="1" applyAlignment="1">
      <alignment horizontal="left" vertical="center" wrapText="1"/>
    </xf>
    <xf numFmtId="0" fontId="46" fillId="0" borderId="61" xfId="1" applyFont="1" applyFill="1" applyBorder="1" applyAlignment="1">
      <alignment horizontal="center" vertical="center" wrapText="1"/>
    </xf>
    <xf numFmtId="0" fontId="46" fillId="0" borderId="27" xfId="1" applyFont="1" applyFill="1" applyBorder="1" applyAlignment="1">
      <alignment horizontal="center" vertical="center" wrapText="1"/>
    </xf>
    <xf numFmtId="3" fontId="46" fillId="0" borderId="61" xfId="1" applyNumberFormat="1" applyFont="1" applyFill="1" applyBorder="1" applyAlignment="1">
      <alignment vertical="center" wrapText="1"/>
    </xf>
    <xf numFmtId="49" fontId="46" fillId="0" borderId="61" xfId="1" applyNumberFormat="1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 vertical="center" wrapText="1"/>
    </xf>
    <xf numFmtId="0" fontId="62" fillId="0" borderId="6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indent="5"/>
    </xf>
    <xf numFmtId="0" fontId="63" fillId="0" borderId="0" xfId="1" applyFont="1" applyAlignment="1">
      <alignment horizontal="right" vertical="center"/>
    </xf>
    <xf numFmtId="0" fontId="62" fillId="0" borderId="0" xfId="1" applyFont="1" applyAlignment="1">
      <alignment horizontal="left" vertical="center"/>
    </xf>
    <xf numFmtId="0" fontId="57" fillId="0" borderId="0" xfId="1" applyFont="1" applyAlignment="1">
      <alignment horizontal="center" vertical="center"/>
    </xf>
    <xf numFmtId="3" fontId="46" fillId="0" borderId="47" xfId="1" applyNumberFormat="1" applyFont="1" applyFill="1" applyBorder="1" applyAlignment="1">
      <alignment vertical="center" wrapText="1"/>
    </xf>
    <xf numFmtId="0" fontId="59" fillId="0" borderId="61" xfId="1" applyFont="1" applyBorder="1" applyAlignment="1">
      <alignment vertical="center"/>
    </xf>
    <xf numFmtId="0" fontId="24" fillId="0" borderId="0" xfId="9" applyFont="1" applyFill="1"/>
    <xf numFmtId="0" fontId="17" fillId="0" borderId="27" xfId="9" applyFont="1" applyBorder="1" applyAlignment="1">
      <alignment horizontal="center" vertical="center"/>
    </xf>
    <xf numFmtId="0" fontId="17" fillId="0" borderId="47" xfId="9" applyFont="1" applyBorder="1" applyAlignment="1">
      <alignment horizontal="center" vertical="center"/>
    </xf>
    <xf numFmtId="0" fontId="17" fillId="0" borderId="3" xfId="9" applyFont="1" applyBorder="1" applyAlignment="1">
      <alignment horizontal="center" vertical="center"/>
    </xf>
    <xf numFmtId="0" fontId="18" fillId="4" borderId="26" xfId="9" applyFont="1" applyFill="1" applyBorder="1" applyAlignment="1">
      <alignment horizontal="center" vertical="center"/>
    </xf>
    <xf numFmtId="0" fontId="21" fillId="0" borderId="26" xfId="9" applyFont="1" applyBorder="1" applyAlignment="1">
      <alignment horizontal="center" vertical="center"/>
    </xf>
    <xf numFmtId="0" fontId="21" fillId="0" borderId="27" xfId="9" applyFont="1" applyBorder="1" applyAlignment="1">
      <alignment horizontal="center" vertical="center"/>
    </xf>
    <xf numFmtId="0" fontId="21" fillId="0" borderId="28" xfId="9" applyFont="1" applyBorder="1" applyAlignment="1">
      <alignment horizontal="center" vertical="center"/>
    </xf>
    <xf numFmtId="0" fontId="21" fillId="3" borderId="26" xfId="9" applyFont="1" applyFill="1" applyBorder="1" applyAlignment="1">
      <alignment horizontal="center" vertical="center"/>
    </xf>
    <xf numFmtId="0" fontId="17" fillId="3" borderId="27" xfId="9" applyFont="1" applyFill="1" applyBorder="1" applyAlignment="1">
      <alignment horizontal="center" vertical="center"/>
    </xf>
    <xf numFmtId="0" fontId="17" fillId="3" borderId="28" xfId="9" applyFont="1" applyFill="1" applyBorder="1" applyAlignment="1">
      <alignment horizontal="center" vertical="center"/>
    </xf>
    <xf numFmtId="0" fontId="21" fillId="0" borderId="61" xfId="9" applyFont="1" applyBorder="1" applyAlignment="1">
      <alignment horizontal="center" vertical="center"/>
    </xf>
    <xf numFmtId="0" fontId="17" fillId="0" borderId="28" xfId="9" applyFont="1" applyBorder="1" applyAlignment="1">
      <alignment horizontal="center" vertical="center"/>
    </xf>
    <xf numFmtId="0" fontId="17" fillId="0" borderId="26" xfId="9" applyFont="1" applyBorder="1" applyAlignment="1">
      <alignment horizontal="center" vertical="center"/>
    </xf>
    <xf numFmtId="0" fontId="18" fillId="3" borderId="27" xfId="9" applyFont="1" applyFill="1" applyBorder="1" applyAlignment="1">
      <alignment horizontal="center" vertical="center"/>
    </xf>
    <xf numFmtId="0" fontId="18" fillId="3" borderId="3" xfId="9" applyFont="1" applyFill="1" applyBorder="1" applyAlignment="1">
      <alignment horizontal="center" vertical="center"/>
    </xf>
    <xf numFmtId="0" fontId="18" fillId="3" borderId="47" xfId="9" applyFont="1" applyFill="1" applyBorder="1" applyAlignment="1">
      <alignment horizontal="center" vertical="center"/>
    </xf>
    <xf numFmtId="0" fontId="21" fillId="0" borderId="3" xfId="9" applyFont="1" applyBorder="1" applyAlignment="1">
      <alignment horizontal="center" vertical="center"/>
    </xf>
    <xf numFmtId="0" fontId="21" fillId="0" borderId="47" xfId="9" applyFont="1" applyBorder="1" applyAlignment="1">
      <alignment horizontal="center" vertical="center"/>
    </xf>
    <xf numFmtId="0" fontId="18" fillId="0" borderId="27" xfId="9" applyFont="1" applyFill="1" applyBorder="1" applyAlignment="1">
      <alignment horizontal="center" vertical="center"/>
    </xf>
    <xf numFmtId="0" fontId="18" fillId="0" borderId="3" xfId="9" applyFont="1" applyFill="1" applyBorder="1" applyAlignment="1">
      <alignment horizontal="center" vertical="center"/>
    </xf>
    <xf numFmtId="0" fontId="18" fillId="0" borderId="28" xfId="9" applyFont="1" applyFill="1" applyBorder="1" applyAlignment="1">
      <alignment horizontal="center" vertical="center"/>
    </xf>
    <xf numFmtId="0" fontId="18" fillId="0" borderId="26" xfId="9" applyFont="1" applyFill="1" applyBorder="1" applyAlignment="1">
      <alignment horizontal="center" vertical="center"/>
    </xf>
    <xf numFmtId="49" fontId="21" fillId="0" borderId="27" xfId="9" applyNumberFormat="1" applyFont="1" applyBorder="1" applyAlignment="1">
      <alignment horizontal="center" vertical="center"/>
    </xf>
    <xf numFmtId="49" fontId="21" fillId="0" borderId="3" xfId="9" applyNumberFormat="1" applyFont="1" applyBorder="1" applyAlignment="1">
      <alignment horizontal="center" vertical="center"/>
    </xf>
    <xf numFmtId="0" fontId="17" fillId="3" borderId="26" xfId="9" applyFont="1" applyFill="1" applyBorder="1" applyAlignment="1">
      <alignment horizontal="center" vertical="center"/>
    </xf>
    <xf numFmtId="49" fontId="21" fillId="0" borderId="28" xfId="9" applyNumberFormat="1" applyFont="1" applyBorder="1" applyAlignment="1">
      <alignment horizontal="center" vertical="center"/>
    </xf>
    <xf numFmtId="49" fontId="21" fillId="0" borderId="26" xfId="9" applyNumberFormat="1" applyFont="1" applyBorder="1" applyAlignment="1">
      <alignment horizontal="center" vertical="center"/>
    </xf>
    <xf numFmtId="49" fontId="21" fillId="3" borderId="27" xfId="9" applyNumberFormat="1" applyFont="1" applyFill="1" applyBorder="1" applyAlignment="1">
      <alignment horizontal="center" vertical="center"/>
    </xf>
    <xf numFmtId="49" fontId="21" fillId="3" borderId="28" xfId="9" applyNumberFormat="1" applyFont="1" applyFill="1" applyBorder="1" applyAlignment="1">
      <alignment horizontal="center" vertical="center"/>
    </xf>
    <xf numFmtId="49" fontId="21" fillId="0" borderId="47" xfId="9" applyNumberFormat="1" applyFont="1" applyBorder="1" applyAlignment="1">
      <alignment horizontal="center" vertical="center"/>
    </xf>
    <xf numFmtId="0" fontId="17" fillId="0" borderId="26" xfId="9" applyFont="1" applyFill="1" applyBorder="1" applyAlignment="1">
      <alignment horizontal="center" vertical="center"/>
    </xf>
    <xf numFmtId="0" fontId="17" fillId="0" borderId="61" xfId="9" applyFont="1" applyFill="1" applyBorder="1" applyAlignment="1">
      <alignment horizontal="center" vertical="center"/>
    </xf>
    <xf numFmtId="49" fontId="21" fillId="3" borderId="26" xfId="9" applyNumberFormat="1" applyFont="1" applyFill="1" applyBorder="1" applyAlignment="1">
      <alignment horizontal="center" vertical="center"/>
    </xf>
    <xf numFmtId="49" fontId="21" fillId="0" borderId="26" xfId="9" applyNumberFormat="1" applyFont="1" applyFill="1" applyBorder="1" applyAlignment="1">
      <alignment horizontal="center" vertical="center"/>
    </xf>
    <xf numFmtId="49" fontId="18" fillId="0" borderId="26" xfId="9" applyNumberFormat="1" applyFont="1" applyFill="1" applyBorder="1" applyAlignment="1">
      <alignment horizontal="center" vertical="center"/>
    </xf>
    <xf numFmtId="49" fontId="17" fillId="0" borderId="26" xfId="9" applyNumberFormat="1" applyFont="1" applyBorder="1" applyAlignment="1">
      <alignment horizontal="center" vertical="center"/>
    </xf>
    <xf numFmtId="49" fontId="18" fillId="3" borderId="3" xfId="9" applyNumberFormat="1" applyFont="1" applyFill="1" applyBorder="1" applyAlignment="1">
      <alignment horizontal="center" vertical="center"/>
    </xf>
    <xf numFmtId="49" fontId="17" fillId="0" borderId="27" xfId="9" applyNumberFormat="1" applyFont="1" applyFill="1" applyBorder="1" applyAlignment="1">
      <alignment horizontal="center" vertical="center"/>
    </xf>
    <xf numFmtId="49" fontId="17" fillId="0" borderId="3" xfId="9" applyNumberFormat="1" applyFont="1" applyFill="1" applyBorder="1" applyAlignment="1">
      <alignment horizontal="center" vertical="center"/>
    </xf>
    <xf numFmtId="49" fontId="21" fillId="3" borderId="61" xfId="9" applyNumberFormat="1" applyFont="1" applyFill="1" applyBorder="1" applyAlignment="1">
      <alignment horizontal="center" vertical="center"/>
    </xf>
    <xf numFmtId="49" fontId="17" fillId="3" borderId="26" xfId="9" applyNumberFormat="1" applyFont="1" applyFill="1" applyBorder="1" applyAlignment="1">
      <alignment horizontal="center" vertical="center"/>
    </xf>
    <xf numFmtId="49" fontId="18" fillId="0" borderId="26" xfId="9" applyNumberFormat="1" applyFont="1" applyBorder="1" applyAlignment="1">
      <alignment horizontal="center" vertical="center"/>
    </xf>
    <xf numFmtId="49" fontId="21" fillId="3" borderId="3" xfId="9" applyNumberFormat="1" applyFont="1" applyFill="1" applyBorder="1" applyAlignment="1">
      <alignment horizontal="center" vertical="center"/>
    </xf>
    <xf numFmtId="49" fontId="21" fillId="3" borderId="47" xfId="9" applyNumberFormat="1" applyFont="1" applyFill="1" applyBorder="1" applyAlignment="1">
      <alignment horizontal="center" vertical="center"/>
    </xf>
    <xf numFmtId="49" fontId="17" fillId="3" borderId="27" xfId="9" applyNumberFormat="1" applyFont="1" applyFill="1" applyBorder="1" applyAlignment="1">
      <alignment horizontal="center" vertical="center"/>
    </xf>
    <xf numFmtId="49" fontId="17" fillId="3" borderId="3" xfId="9" applyNumberFormat="1" applyFont="1" applyFill="1" applyBorder="1" applyAlignment="1">
      <alignment horizontal="center" vertical="center"/>
    </xf>
    <xf numFmtId="49" fontId="17" fillId="3" borderId="47" xfId="9" applyNumberFormat="1" applyFont="1" applyFill="1" applyBorder="1" applyAlignment="1">
      <alignment horizontal="center" vertical="center"/>
    </xf>
    <xf numFmtId="49" fontId="18" fillId="3" borderId="26" xfId="9" applyNumberFormat="1" applyFont="1" applyFill="1" applyBorder="1" applyAlignment="1">
      <alignment horizontal="center" vertical="center"/>
    </xf>
    <xf numFmtId="49" fontId="18" fillId="3" borderId="61" xfId="9" applyNumberFormat="1" applyFont="1" applyFill="1" applyBorder="1" applyAlignment="1">
      <alignment horizontal="center" vertical="center"/>
    </xf>
    <xf numFmtId="0" fontId="19" fillId="0" borderId="26" xfId="9" applyFont="1" applyBorder="1" applyAlignment="1">
      <alignment horizontal="center" vertical="center"/>
    </xf>
    <xf numFmtId="0" fontId="13" fillId="0" borderId="0" xfId="9" applyFont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8" fillId="0" borderId="26" xfId="9" applyFont="1" applyBorder="1" applyAlignment="1">
      <alignment horizontal="center" vertical="center"/>
    </xf>
    <xf numFmtId="0" fontId="18" fillId="0" borderId="26" xfId="9" applyFont="1" applyBorder="1" applyAlignment="1">
      <alignment horizontal="center" vertical="center" wrapText="1"/>
    </xf>
    <xf numFmtId="49" fontId="17" fillId="0" borderId="26" xfId="9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0" fontId="32" fillId="5" borderId="31" xfId="1" applyFont="1" applyFill="1" applyBorder="1" applyAlignment="1">
      <alignment horizontal="center" vertical="center"/>
    </xf>
    <xf numFmtId="0" fontId="32" fillId="5" borderId="36" xfId="1" applyFont="1" applyFill="1" applyBorder="1" applyAlignment="1">
      <alignment horizontal="center" vertical="center"/>
    </xf>
    <xf numFmtId="0" fontId="32" fillId="5" borderId="30" xfId="1" applyFont="1" applyFill="1" applyBorder="1" applyAlignment="1">
      <alignment horizontal="center" vertical="center" wrapText="1"/>
    </xf>
    <xf numFmtId="0" fontId="32" fillId="5" borderId="32" xfId="1" applyFont="1" applyFill="1" applyBorder="1" applyAlignment="1">
      <alignment horizontal="center" vertical="center" wrapText="1"/>
    </xf>
    <xf numFmtId="0" fontId="32" fillId="5" borderId="29" xfId="1" applyFont="1" applyFill="1" applyBorder="1" applyAlignment="1">
      <alignment horizontal="center" vertical="center" wrapText="1"/>
    </xf>
    <xf numFmtId="0" fontId="32" fillId="5" borderId="37" xfId="1" applyFont="1" applyFill="1" applyBorder="1" applyAlignment="1">
      <alignment horizontal="center" vertical="center"/>
    </xf>
    <xf numFmtId="0" fontId="32" fillId="5" borderId="1" xfId="1" applyFont="1" applyFill="1" applyBorder="1" applyAlignment="1">
      <alignment horizontal="center" vertical="center" wrapText="1"/>
    </xf>
    <xf numFmtId="0" fontId="32" fillId="5" borderId="2" xfId="1" applyFont="1" applyFill="1" applyBorder="1" applyAlignment="1">
      <alignment horizontal="center" vertical="center"/>
    </xf>
    <xf numFmtId="0" fontId="32" fillId="5" borderId="15" xfId="1" applyFont="1" applyFill="1" applyBorder="1" applyAlignment="1">
      <alignment horizontal="center" vertical="center"/>
    </xf>
    <xf numFmtId="0" fontId="32" fillId="5" borderId="34" xfId="1" applyFont="1" applyFill="1" applyBorder="1" applyAlignment="1">
      <alignment horizontal="center" vertical="center" wrapText="1"/>
    </xf>
    <xf numFmtId="0" fontId="32" fillId="5" borderId="40" xfId="1" applyFont="1" applyFill="1" applyBorder="1" applyAlignment="1">
      <alignment horizontal="center" vertical="center" wrapText="1"/>
    </xf>
    <xf numFmtId="0" fontId="32" fillId="5" borderId="37" xfId="1" applyFont="1" applyFill="1" applyBorder="1" applyAlignment="1">
      <alignment horizontal="center" vertical="center" wrapText="1"/>
    </xf>
    <xf numFmtId="49" fontId="37" fillId="0" borderId="32" xfId="1" applyNumberFormat="1" applyFont="1" applyBorder="1" applyAlignment="1">
      <alignment horizontal="center" vertical="center"/>
    </xf>
    <xf numFmtId="0" fontId="33" fillId="5" borderId="29" xfId="1" applyFont="1" applyFill="1" applyBorder="1" applyAlignment="1">
      <alignment horizontal="center" vertical="center" wrapText="1"/>
    </xf>
    <xf numFmtId="0" fontId="33" fillId="5" borderId="31" xfId="1" applyFont="1" applyFill="1" applyBorder="1" applyAlignment="1">
      <alignment horizontal="center" vertical="center"/>
    </xf>
    <xf numFmtId="0" fontId="33" fillId="5" borderId="36" xfId="1" applyFont="1" applyFill="1" applyBorder="1" applyAlignment="1">
      <alignment horizontal="center" vertical="center"/>
    </xf>
    <xf numFmtId="0" fontId="34" fillId="5" borderId="29" xfId="1" applyFont="1" applyFill="1" applyBorder="1" applyAlignment="1">
      <alignment horizontal="center" vertical="center" wrapText="1"/>
    </xf>
    <xf numFmtId="0" fontId="34" fillId="5" borderId="31" xfId="1" applyFont="1" applyFill="1" applyBorder="1" applyAlignment="1">
      <alignment horizontal="center" vertical="center"/>
    </xf>
    <xf numFmtId="0" fontId="34" fillId="5" borderId="37" xfId="1" applyFont="1" applyFill="1" applyBorder="1" applyAlignment="1">
      <alignment horizontal="center" vertical="center"/>
    </xf>
    <xf numFmtId="0" fontId="32" fillId="5" borderId="11" xfId="1" applyFont="1" applyFill="1" applyBorder="1" applyAlignment="1">
      <alignment horizontal="center" vertical="center"/>
    </xf>
    <xf numFmtId="0" fontId="32" fillId="5" borderId="22" xfId="1" applyFont="1" applyFill="1" applyBorder="1" applyAlignment="1">
      <alignment horizontal="center" vertical="center"/>
    </xf>
    <xf numFmtId="0" fontId="32" fillId="5" borderId="24" xfId="1" applyFont="1" applyFill="1" applyBorder="1" applyAlignment="1">
      <alignment horizontal="center" vertical="center"/>
    </xf>
    <xf numFmtId="0" fontId="32" fillId="5" borderId="21" xfId="1" applyFont="1" applyFill="1" applyBorder="1" applyAlignment="1">
      <alignment horizontal="center" vertical="center"/>
    </xf>
    <xf numFmtId="0" fontId="32" fillId="5" borderId="25" xfId="1" applyFont="1" applyFill="1" applyBorder="1" applyAlignment="1">
      <alignment horizontal="center" vertical="center"/>
    </xf>
    <xf numFmtId="0" fontId="32" fillId="5" borderId="33" xfId="1" applyFont="1" applyFill="1" applyBorder="1" applyAlignment="1">
      <alignment horizontal="center" vertical="center"/>
    </xf>
    <xf numFmtId="0" fontId="32" fillId="5" borderId="8" xfId="1" applyFont="1" applyFill="1" applyBorder="1" applyAlignment="1">
      <alignment horizontal="center" vertical="center" wrapText="1"/>
    </xf>
    <xf numFmtId="0" fontId="32" fillId="5" borderId="41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 wrapText="1"/>
    </xf>
    <xf numFmtId="0" fontId="32" fillId="5" borderId="42" xfId="1" applyFont="1" applyFill="1" applyBorder="1" applyAlignment="1">
      <alignment horizontal="center" vertical="center"/>
    </xf>
    <xf numFmtId="0" fontId="32" fillId="5" borderId="35" xfId="1" applyFont="1" applyFill="1" applyBorder="1" applyAlignment="1">
      <alignment horizontal="center" vertical="center" wrapText="1"/>
    </xf>
    <xf numFmtId="0" fontId="32" fillId="5" borderId="43" xfId="1" applyFont="1" applyFill="1" applyBorder="1" applyAlignment="1">
      <alignment horizontal="center" vertical="center"/>
    </xf>
    <xf numFmtId="49" fontId="37" fillId="0" borderId="32" xfId="1" applyNumberFormat="1" applyFont="1" applyFill="1" applyBorder="1" applyAlignment="1">
      <alignment horizontal="center" vertical="center"/>
    </xf>
    <xf numFmtId="49" fontId="37" fillId="3" borderId="32" xfId="1" applyNumberFormat="1" applyFont="1" applyFill="1" applyBorder="1" applyAlignment="1">
      <alignment horizontal="center" vertical="center"/>
    </xf>
    <xf numFmtId="49" fontId="37" fillId="0" borderId="46" xfId="1" applyNumberFormat="1" applyFont="1" applyBorder="1" applyAlignment="1">
      <alignment horizontal="center" vertical="center"/>
    </xf>
    <xf numFmtId="49" fontId="37" fillId="0" borderId="31" xfId="1" applyNumberFormat="1" applyFont="1" applyBorder="1" applyAlignment="1">
      <alignment horizontal="center" vertical="center"/>
    </xf>
    <xf numFmtId="49" fontId="37" fillId="0" borderId="36" xfId="1" applyNumberFormat="1" applyFont="1" applyBorder="1" applyAlignment="1">
      <alignment horizontal="center" vertical="center"/>
    </xf>
    <xf numFmtId="49" fontId="37" fillId="0" borderId="30" xfId="1" applyNumberFormat="1" applyFont="1" applyBorder="1" applyAlignment="1">
      <alignment horizontal="center" vertical="center"/>
    </xf>
    <xf numFmtId="49" fontId="37" fillId="0" borderId="44" xfId="1" applyNumberFormat="1" applyFont="1" applyBorder="1" applyAlignment="1">
      <alignment horizontal="center" vertical="center"/>
    </xf>
    <xf numFmtId="49" fontId="32" fillId="3" borderId="32" xfId="1" applyNumberFormat="1" applyFont="1" applyFill="1" applyBorder="1" applyAlignment="1">
      <alignment horizontal="center" vertical="center"/>
    </xf>
    <xf numFmtId="49" fontId="37" fillId="3" borderId="46" xfId="1" applyNumberFormat="1" applyFont="1" applyFill="1" applyBorder="1" applyAlignment="1">
      <alignment horizontal="center" vertical="center"/>
    </xf>
    <xf numFmtId="49" fontId="37" fillId="3" borderId="31" xfId="1" applyNumberFormat="1" applyFont="1" applyFill="1" applyBorder="1" applyAlignment="1">
      <alignment horizontal="center" vertical="center"/>
    </xf>
    <xf numFmtId="49" fontId="37" fillId="3" borderId="36" xfId="1" applyNumberFormat="1" applyFont="1" applyFill="1" applyBorder="1" applyAlignment="1">
      <alignment horizontal="center" vertical="center"/>
    </xf>
    <xf numFmtId="49" fontId="32" fillId="0" borderId="30" xfId="1" applyNumberFormat="1" applyFont="1" applyFill="1" applyBorder="1" applyAlignment="1">
      <alignment horizontal="center" vertical="center"/>
    </xf>
    <xf numFmtId="49" fontId="32" fillId="0" borderId="32" xfId="1" applyNumberFormat="1" applyFont="1" applyFill="1" applyBorder="1" applyAlignment="1">
      <alignment horizontal="center" vertical="center"/>
    </xf>
    <xf numFmtId="49" fontId="32" fillId="0" borderId="44" xfId="1" applyNumberFormat="1" applyFont="1" applyFill="1" applyBorder="1" applyAlignment="1">
      <alignment horizontal="center" vertical="center"/>
    </xf>
    <xf numFmtId="49" fontId="37" fillId="0" borderId="0" xfId="1" applyNumberFormat="1" applyFont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49" fontId="37" fillId="0" borderId="0" xfId="1" applyNumberFormat="1" applyFont="1" applyFill="1" applyBorder="1" applyAlignment="1">
      <alignment horizontal="center" vertical="center"/>
    </xf>
    <xf numFmtId="49" fontId="32" fillId="0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49" fontId="37" fillId="3" borderId="0" xfId="1" applyNumberFormat="1" applyFont="1" applyFill="1" applyBorder="1" applyAlignment="1">
      <alignment horizontal="center" vertical="center"/>
    </xf>
    <xf numFmtId="0" fontId="61" fillId="0" borderId="0" xfId="1" applyFont="1" applyAlignment="1">
      <alignment horizontal="center" wrapText="1"/>
    </xf>
    <xf numFmtId="0" fontId="57" fillId="9" borderId="1" xfId="1" applyFont="1" applyFill="1" applyBorder="1" applyAlignment="1">
      <alignment horizontal="center" vertical="center" wrapText="1"/>
    </xf>
    <xf numFmtId="0" fontId="57" fillId="9" borderId="65" xfId="1" applyFont="1" applyFill="1" applyBorder="1" applyAlignment="1">
      <alignment horizontal="center" vertical="center" wrapText="1"/>
    </xf>
    <xf numFmtId="0" fontId="57" fillId="9" borderId="2" xfId="1" applyFont="1" applyFill="1" applyBorder="1" applyAlignment="1">
      <alignment horizontal="center" vertical="center" wrapText="1"/>
    </xf>
    <xf numFmtId="0" fontId="57" fillId="9" borderId="3" xfId="1" applyFont="1" applyFill="1" applyBorder="1" applyAlignment="1">
      <alignment horizontal="center" vertical="center" wrapText="1"/>
    </xf>
    <xf numFmtId="0" fontId="59" fillId="0" borderId="64" xfId="1" applyFont="1" applyBorder="1" applyAlignment="1">
      <alignment horizontal="center" vertical="center" wrapText="1"/>
    </xf>
    <xf numFmtId="0" fontId="59" fillId="0" borderId="8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4" fillId="9" borderId="9" xfId="1" applyFont="1" applyFill="1" applyBorder="1" applyAlignment="1">
      <alignment horizontal="center" vertical="center" wrapText="1"/>
    </xf>
    <xf numFmtId="0" fontId="54" fillId="9" borderId="10" xfId="1" applyFont="1" applyFill="1" applyBorder="1" applyAlignment="1">
      <alignment horizontal="center" vertical="center" wrapText="1"/>
    </xf>
    <xf numFmtId="0" fontId="54" fillId="9" borderId="11" xfId="1" applyFont="1" applyFill="1" applyBorder="1" applyAlignment="1">
      <alignment horizontal="center" vertical="center" wrapText="1"/>
    </xf>
    <xf numFmtId="0" fontId="59" fillId="0" borderId="64" xfId="1" quotePrefix="1" applyFont="1" applyBorder="1" applyAlignment="1">
      <alignment horizontal="center" vertical="center" wrapText="1"/>
    </xf>
    <xf numFmtId="0" fontId="59" fillId="0" borderId="65" xfId="1" quotePrefix="1" applyFont="1" applyBorder="1" applyAlignment="1">
      <alignment horizontal="center" vertical="center" wrapText="1"/>
    </xf>
    <xf numFmtId="0" fontId="59" fillId="0" borderId="8" xfId="1" quotePrefix="1" applyFont="1" applyBorder="1" applyAlignment="1">
      <alignment horizontal="center" vertical="center" wrapText="1"/>
    </xf>
    <xf numFmtId="0" fontId="59" fillId="0" borderId="65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57" fillId="0" borderId="0" xfId="1" applyFont="1" applyBorder="1" applyAlignment="1">
      <alignment horizontal="center" wrapText="1"/>
    </xf>
    <xf numFmtId="0" fontId="57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62" fillId="9" borderId="1" xfId="1" applyFont="1" applyFill="1" applyBorder="1" applyAlignment="1">
      <alignment horizontal="center" vertical="center" wrapText="1"/>
    </xf>
    <xf numFmtId="0" fontId="62" fillId="9" borderId="65" xfId="1" applyFont="1" applyFill="1" applyBorder="1" applyAlignment="1">
      <alignment horizontal="center" vertical="center" wrapText="1"/>
    </xf>
    <xf numFmtId="0" fontId="62" fillId="9" borderId="73" xfId="1" applyFont="1" applyFill="1" applyBorder="1" applyAlignment="1">
      <alignment horizontal="center" vertical="center" wrapText="1"/>
    </xf>
    <xf numFmtId="0" fontId="62" fillId="9" borderId="2" xfId="1" applyFont="1" applyFill="1" applyBorder="1" applyAlignment="1">
      <alignment horizontal="center" vertical="center" wrapText="1"/>
    </xf>
    <xf numFmtId="0" fontId="62" fillId="9" borderId="3" xfId="1" applyFont="1" applyFill="1" applyBorder="1" applyAlignment="1">
      <alignment horizontal="center" vertical="center" wrapText="1"/>
    </xf>
    <xf numFmtId="0" fontId="62" fillId="9" borderId="17" xfId="1" applyFont="1" applyFill="1" applyBorder="1" applyAlignment="1">
      <alignment horizontal="center" vertical="center" wrapText="1"/>
    </xf>
    <xf numFmtId="0" fontId="62" fillId="9" borderId="27" xfId="1" applyFont="1" applyFill="1" applyBorder="1" applyAlignment="1">
      <alignment horizontal="center" vertical="center" wrapText="1"/>
    </xf>
    <xf numFmtId="0" fontId="57" fillId="9" borderId="54" xfId="1" applyFont="1" applyFill="1" applyBorder="1" applyAlignment="1">
      <alignment horizontal="center" vertical="center" wrapText="1"/>
    </xf>
    <xf numFmtId="0" fontId="1" fillId="0" borderId="52" xfId="1" applyBorder="1" applyAlignment="1">
      <alignment horizontal="center" vertical="center" wrapText="1"/>
    </xf>
    <xf numFmtId="0" fontId="1" fillId="0" borderId="53" xfId="1" applyBorder="1" applyAlignment="1">
      <alignment horizontal="center" vertical="center" wrapText="1"/>
    </xf>
    <xf numFmtId="0" fontId="1" fillId="0" borderId="82" xfId="1" applyBorder="1" applyAlignment="1">
      <alignment horizontal="center" vertical="center" wrapText="1"/>
    </xf>
    <xf numFmtId="0" fontId="1" fillId="0" borderId="81" xfId="1" applyBorder="1" applyAlignment="1">
      <alignment horizontal="center" vertical="center" wrapText="1"/>
    </xf>
    <xf numFmtId="0" fontId="1" fillId="0" borderId="80" xfId="1" applyBorder="1" applyAlignment="1">
      <alignment horizontal="center" vertical="center" wrapText="1"/>
    </xf>
    <xf numFmtId="0" fontId="57" fillId="9" borderId="79" xfId="1" applyFont="1" applyFill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57" fillId="9" borderId="78" xfId="1" applyFont="1" applyFill="1" applyBorder="1" applyAlignment="1">
      <alignment horizontal="center" vertical="center" wrapText="1"/>
    </xf>
    <xf numFmtId="0" fontId="57" fillId="9" borderId="77" xfId="1" applyFont="1" applyFill="1" applyBorder="1" applyAlignment="1">
      <alignment horizontal="center" vertical="center" wrapText="1"/>
    </xf>
    <xf numFmtId="0" fontId="57" fillId="9" borderId="76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57" fillId="9" borderId="12" xfId="1" applyFont="1" applyFill="1" applyBorder="1" applyAlignment="1">
      <alignment horizontal="center" vertical="center" wrapText="1"/>
    </xf>
    <xf numFmtId="0" fontId="57" fillId="9" borderId="13" xfId="1" applyFont="1" applyFill="1" applyBorder="1" applyAlignment="1">
      <alignment horizontal="center" vertical="center" wrapText="1"/>
    </xf>
    <xf numFmtId="0" fontId="57" fillId="9" borderId="14" xfId="1" applyFont="1" applyFill="1" applyBorder="1" applyAlignment="1">
      <alignment horizontal="center" vertical="center" wrapText="1"/>
    </xf>
    <xf numFmtId="0" fontId="57" fillId="9" borderId="33" xfId="1" applyFont="1" applyFill="1" applyBorder="1" applyAlignment="1">
      <alignment horizontal="center" vertical="center" wrapText="1"/>
    </xf>
    <xf numFmtId="0" fontId="57" fillId="9" borderId="34" xfId="1" applyFont="1" applyFill="1" applyBorder="1" applyAlignment="1">
      <alignment horizontal="center" vertical="center" wrapText="1"/>
    </xf>
    <xf numFmtId="0" fontId="57" fillId="9" borderId="25" xfId="1" applyFont="1" applyFill="1" applyBorder="1" applyAlignment="1">
      <alignment horizontal="center" vertical="center" wrapText="1"/>
    </xf>
    <xf numFmtId="0" fontId="57" fillId="9" borderId="15" xfId="1" applyFont="1" applyFill="1" applyBorder="1" applyAlignment="1">
      <alignment horizontal="center" vertical="center" wrapText="1"/>
    </xf>
    <xf numFmtId="0" fontId="57" fillId="9" borderId="74" xfId="1" applyFont="1" applyFill="1" applyBorder="1" applyAlignment="1">
      <alignment horizontal="center" vertical="center" wrapText="1"/>
    </xf>
    <xf numFmtId="0" fontId="57" fillId="9" borderId="70" xfId="1" applyFont="1" applyFill="1" applyBorder="1" applyAlignment="1">
      <alignment horizontal="center" vertical="center" wrapText="1"/>
    </xf>
    <xf numFmtId="0" fontId="56" fillId="0" borderId="64" xfId="1" applyFont="1" applyBorder="1" applyAlignment="1">
      <alignment horizontal="center" vertical="center" wrapText="1"/>
    </xf>
    <xf numFmtId="0" fontId="56" fillId="0" borderId="8" xfId="1" applyFont="1" applyBorder="1" applyAlignment="1">
      <alignment horizontal="center" vertical="center" wrapText="1"/>
    </xf>
    <xf numFmtId="0" fontId="56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62" fillId="9" borderId="21" xfId="1" applyFont="1" applyFill="1" applyBorder="1" applyAlignment="1">
      <alignment horizontal="center" vertical="center" wrapText="1"/>
    </xf>
    <xf numFmtId="0" fontId="62" fillId="9" borderId="22" xfId="1" applyFont="1" applyFill="1" applyBorder="1" applyAlignment="1">
      <alignment horizontal="center" vertical="center" wrapText="1"/>
    </xf>
    <xf numFmtId="0" fontId="56" fillId="0" borderId="64" xfId="1" quotePrefix="1" applyFont="1" applyBorder="1" applyAlignment="1">
      <alignment horizontal="center" vertical="center" wrapText="1"/>
    </xf>
    <xf numFmtId="0" fontId="56" fillId="0" borderId="65" xfId="1" quotePrefix="1" applyFont="1" applyBorder="1" applyAlignment="1">
      <alignment horizontal="center" vertical="center" wrapText="1"/>
    </xf>
    <xf numFmtId="0" fontId="56" fillId="0" borderId="8" xfId="1" quotePrefix="1" applyFont="1" applyBorder="1" applyAlignment="1">
      <alignment horizontal="center" vertical="center" wrapText="1"/>
    </xf>
    <xf numFmtId="0" fontId="56" fillId="0" borderId="65" xfId="1" applyFont="1" applyBorder="1" applyAlignment="1">
      <alignment horizontal="center" vertical="center" wrapText="1"/>
    </xf>
    <xf numFmtId="0" fontId="46" fillId="0" borderId="27" xfId="1" applyFont="1" applyFill="1" applyBorder="1" applyAlignment="1">
      <alignment horizontal="center" vertical="center" wrapText="1"/>
    </xf>
    <xf numFmtId="0" fontId="46" fillId="0" borderId="3" xfId="1" applyFont="1" applyFill="1" applyBorder="1" applyAlignment="1">
      <alignment horizontal="center" vertical="center" wrapText="1"/>
    </xf>
    <xf numFmtId="0" fontId="46" fillId="0" borderId="47" xfId="1" applyFont="1" applyFill="1" applyBorder="1" applyAlignment="1">
      <alignment horizontal="center" vertical="center" wrapText="1"/>
    </xf>
    <xf numFmtId="0" fontId="46" fillId="0" borderId="27" xfId="1" applyFont="1" applyFill="1" applyBorder="1" applyAlignment="1">
      <alignment horizontal="left" vertical="center" wrapText="1"/>
    </xf>
    <xf numFmtId="0" fontId="46" fillId="0" borderId="47" xfId="1" applyFont="1" applyFill="1" applyBorder="1" applyAlignment="1">
      <alignment horizontal="left" vertical="center" wrapText="1"/>
    </xf>
    <xf numFmtId="0" fontId="66" fillId="0" borderId="60" xfId="1" applyFont="1" applyFill="1" applyBorder="1" applyAlignment="1">
      <alignment horizontal="center" vertical="center" wrapText="1"/>
    </xf>
    <xf numFmtId="0" fontId="66" fillId="0" borderId="48" xfId="1" applyFont="1" applyFill="1" applyBorder="1" applyAlignment="1">
      <alignment horizontal="center" vertical="center" wrapText="1"/>
    </xf>
    <xf numFmtId="0" fontId="66" fillId="0" borderId="49" xfId="1" applyFont="1" applyFill="1" applyBorder="1" applyAlignment="1">
      <alignment horizontal="center" vertical="center" wrapText="1"/>
    </xf>
    <xf numFmtId="0" fontId="68" fillId="0" borderId="0" xfId="1" applyFont="1" applyAlignment="1">
      <alignment horizontal="center" vertical="center" wrapText="1"/>
    </xf>
    <xf numFmtId="0" fontId="68" fillId="0" borderId="0" xfId="1" applyFont="1" applyAlignment="1">
      <alignment horizontal="center" vertical="center"/>
    </xf>
    <xf numFmtId="0" fontId="67" fillId="0" borderId="0" xfId="1" applyFont="1" applyAlignment="1">
      <alignment horizontal="center" vertical="center" wrapText="1"/>
    </xf>
    <xf numFmtId="0" fontId="67" fillId="0" borderId="0" xfId="1" applyFont="1" applyAlignment="1">
      <alignment horizontal="center" vertical="center"/>
    </xf>
    <xf numFmtId="0" fontId="62" fillId="0" borderId="61" xfId="1" applyFont="1" applyFill="1" applyBorder="1" applyAlignment="1">
      <alignment horizontal="center" vertical="center" wrapText="1"/>
    </xf>
    <xf numFmtId="0" fontId="62" fillId="0" borderId="27" xfId="1" applyFont="1" applyFill="1" applyBorder="1" applyAlignment="1">
      <alignment horizontal="center" vertical="center" wrapText="1"/>
    </xf>
    <xf numFmtId="0" fontId="62" fillId="0" borderId="47" xfId="1" applyFont="1" applyFill="1" applyBorder="1" applyAlignment="1">
      <alignment horizontal="center" vertical="center" wrapText="1"/>
    </xf>
    <xf numFmtId="0" fontId="43" fillId="5" borderId="23" xfId="5" applyFont="1" applyFill="1" applyBorder="1" applyAlignment="1">
      <alignment horizontal="center" vertical="center"/>
    </xf>
    <xf numFmtId="0" fontId="46" fillId="8" borderId="29" xfId="12" applyFont="1" applyFill="1" applyBorder="1" applyAlignment="1">
      <alignment horizontal="center" vertical="center" wrapText="1"/>
    </xf>
    <xf numFmtId="0" fontId="46" fillId="8" borderId="31" xfId="12" applyFont="1" applyFill="1" applyBorder="1" applyAlignment="1">
      <alignment horizontal="center" vertical="center" wrapText="1"/>
    </xf>
    <xf numFmtId="0" fontId="46" fillId="8" borderId="31" xfId="12" applyFont="1" applyFill="1" applyBorder="1" applyAlignment="1">
      <alignment horizontal="center" vertical="center"/>
    </xf>
    <xf numFmtId="0" fontId="46" fillId="8" borderId="37" xfId="12" applyFont="1" applyFill="1" applyBorder="1" applyAlignment="1">
      <alignment horizontal="center" vertical="center"/>
    </xf>
    <xf numFmtId="0" fontId="46" fillId="8" borderId="36" xfId="12" applyFont="1" applyFill="1" applyBorder="1" applyAlignment="1">
      <alignment horizontal="center" vertical="center"/>
    </xf>
    <xf numFmtId="0" fontId="46" fillId="8" borderId="32" xfId="12" applyFont="1" applyFill="1" applyBorder="1" applyAlignment="1">
      <alignment horizontal="center" vertical="center"/>
    </xf>
    <xf numFmtId="0" fontId="46" fillId="8" borderId="46" xfId="12" applyFont="1" applyFill="1" applyBorder="1" applyAlignment="1">
      <alignment horizontal="center" vertical="center"/>
    </xf>
    <xf numFmtId="0" fontId="46" fillId="8" borderId="60" xfId="12" applyFont="1" applyFill="1" applyBorder="1" applyAlignment="1">
      <alignment horizontal="left" vertical="center"/>
    </xf>
    <xf numFmtId="0" fontId="48" fillId="0" borderId="0" xfId="5" applyFont="1" applyBorder="1" applyAlignment="1">
      <alignment horizontal="center" vertical="center" wrapText="1"/>
    </xf>
    <xf numFmtId="0" fontId="46" fillId="8" borderId="36" xfId="12" applyFont="1" applyFill="1" applyBorder="1" applyAlignment="1">
      <alignment horizontal="center" vertical="center" wrapText="1"/>
    </xf>
    <xf numFmtId="0" fontId="46" fillId="8" borderId="32" xfId="12" applyFont="1" applyFill="1" applyBorder="1" applyAlignment="1">
      <alignment horizontal="center" vertical="center" wrapText="1"/>
    </xf>
    <xf numFmtId="0" fontId="46" fillId="8" borderId="46" xfId="12" applyFont="1" applyFill="1" applyBorder="1" applyAlignment="1">
      <alignment horizontal="center" vertical="center" wrapText="1"/>
    </xf>
    <xf numFmtId="0" fontId="15" fillId="5" borderId="23" xfId="4" applyFont="1" applyFill="1" applyBorder="1" applyAlignment="1">
      <alignment horizontal="center" vertical="center"/>
    </xf>
    <xf numFmtId="0" fontId="15" fillId="0" borderId="31" xfId="4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13">
    <cellStyle name="Dziesiętny 2" xfId="11"/>
    <cellStyle name="Normalny" xfId="0" builtinId="0"/>
    <cellStyle name="Normalny 2" xfId="1"/>
    <cellStyle name="Normalny 2 2" xfId="2"/>
    <cellStyle name="Normalny 2 2 2" xfId="10"/>
    <cellStyle name="Normalny 2 3" xfId="9"/>
    <cellStyle name="Normalny 3" xfId="3"/>
    <cellStyle name="Normalny 3 2" xfId="4"/>
    <cellStyle name="Normalny 3 2 2" xfId="5"/>
    <cellStyle name="Normalny 4" xfId="6"/>
    <cellStyle name="Normalny_Arkusz1" xfId="12"/>
    <cellStyle name="Procentowy 2" xfId="7"/>
    <cellStyle name="Walutowy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view="pageBreakPreview" zoomScale="85" zoomScaleNormal="75" zoomScaleSheetLayoutView="85" workbookViewId="0">
      <pane ySplit="9" topLeftCell="A331" activePane="bottomLeft" state="frozen"/>
      <selection activeCell="G318" sqref="G318"/>
      <selection pane="bottomLeft" activeCell="K301" sqref="K301"/>
    </sheetView>
  </sheetViews>
  <sheetFormatPr defaultRowHeight="14.25"/>
  <cols>
    <col min="1" max="1" width="5" style="4" bestFit="1" customWidth="1"/>
    <col min="2" max="2" width="8.125" style="4" bestFit="1" customWidth="1"/>
    <col min="3" max="3" width="49.875" style="5" customWidth="1"/>
    <col min="4" max="4" width="14.875" style="6" customWidth="1"/>
    <col min="5" max="5" width="16.375" style="6" customWidth="1"/>
    <col min="6" max="6" width="15.875" style="6" customWidth="1"/>
    <col min="7" max="7" width="13.75" style="6" customWidth="1"/>
    <col min="8" max="9" width="15.625" style="6" customWidth="1"/>
    <col min="10" max="10" width="12.125" style="6" bestFit="1" customWidth="1"/>
    <col min="11" max="16384" width="9" style="8"/>
  </cols>
  <sheetData>
    <row r="1" spans="1:10" ht="40.5" customHeight="1">
      <c r="H1" s="7"/>
      <c r="I1" s="7"/>
      <c r="J1" s="7"/>
    </row>
    <row r="2" spans="1:10">
      <c r="H2" s="9"/>
      <c r="I2" s="9"/>
      <c r="J2" s="9"/>
    </row>
    <row r="3" spans="1:10" s="10" customFormat="1" ht="35.25" customHeight="1">
      <c r="A3" s="511" t="s">
        <v>40</v>
      </c>
      <c r="B3" s="512"/>
      <c r="C3" s="512"/>
      <c r="D3" s="512"/>
      <c r="E3" s="512"/>
      <c r="F3" s="512"/>
      <c r="G3" s="512"/>
      <c r="H3" s="512"/>
      <c r="I3" s="512"/>
      <c r="J3" s="512"/>
    </row>
    <row r="4" spans="1:10" ht="35.25" customHeight="1">
      <c r="A4" s="11"/>
      <c r="B4" s="12"/>
      <c r="C4" s="13"/>
      <c r="D4" s="14"/>
      <c r="E4" s="14"/>
      <c r="F4" s="15"/>
      <c r="G4" s="14"/>
      <c r="H4" s="15"/>
      <c r="I4" s="14"/>
      <c r="J4" s="14"/>
    </row>
    <row r="5" spans="1:10" ht="16.5" customHeight="1">
      <c r="J5" s="16" t="s">
        <v>0</v>
      </c>
    </row>
    <row r="6" spans="1:10" ht="26.25" customHeight="1">
      <c r="A6" s="513" t="s">
        <v>1</v>
      </c>
      <c r="B6" s="513" t="s">
        <v>2</v>
      </c>
      <c r="C6" s="513" t="s">
        <v>41</v>
      </c>
      <c r="D6" s="514" t="s">
        <v>42</v>
      </c>
      <c r="E6" s="513" t="s">
        <v>3</v>
      </c>
      <c r="F6" s="513"/>
      <c r="G6" s="514" t="s">
        <v>42</v>
      </c>
      <c r="H6" s="513" t="s">
        <v>4</v>
      </c>
      <c r="I6" s="513"/>
      <c r="J6" s="514" t="s">
        <v>43</v>
      </c>
    </row>
    <row r="7" spans="1:10">
      <c r="A7" s="513"/>
      <c r="B7" s="513"/>
      <c r="C7" s="513"/>
      <c r="D7" s="513"/>
      <c r="E7" s="510" t="s">
        <v>29</v>
      </c>
      <c r="F7" s="510"/>
      <c r="G7" s="513"/>
      <c r="H7" s="510" t="s">
        <v>29</v>
      </c>
      <c r="I7" s="510"/>
      <c r="J7" s="514"/>
    </row>
    <row r="8" spans="1:10">
      <c r="A8" s="513"/>
      <c r="B8" s="513"/>
      <c r="C8" s="513"/>
      <c r="D8" s="513"/>
      <c r="E8" s="17" t="s">
        <v>44</v>
      </c>
      <c r="F8" s="17" t="s">
        <v>45</v>
      </c>
      <c r="G8" s="513"/>
      <c r="H8" s="17" t="s">
        <v>44</v>
      </c>
      <c r="I8" s="326" t="s">
        <v>45</v>
      </c>
      <c r="J8" s="514"/>
    </row>
    <row r="9" spans="1:10" ht="10.5" customHeight="1">
      <c r="A9" s="18" t="s">
        <v>5</v>
      </c>
      <c r="B9" s="18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32</v>
      </c>
      <c r="H9" s="18" t="s">
        <v>33</v>
      </c>
      <c r="I9" s="18" t="s">
        <v>34</v>
      </c>
      <c r="J9" s="18" t="s">
        <v>35</v>
      </c>
    </row>
    <row r="10" spans="1:10" s="23" customFormat="1" ht="14.25" customHeight="1">
      <c r="A10" s="19" t="s">
        <v>11</v>
      </c>
      <c r="B10" s="19"/>
      <c r="C10" s="20" t="s">
        <v>46</v>
      </c>
      <c r="D10" s="21">
        <f t="shared" ref="D10:I10" si="0">SUM(D11,D13,D15,D17,D28,D31,D36,D42)</f>
        <v>81463874</v>
      </c>
      <c r="E10" s="21">
        <f t="shared" si="0"/>
        <v>44513688</v>
      </c>
      <c r="F10" s="21">
        <f t="shared" si="0"/>
        <v>36950186</v>
      </c>
      <c r="G10" s="21">
        <f t="shared" si="0"/>
        <v>81158083</v>
      </c>
      <c r="H10" s="21">
        <f t="shared" si="0"/>
        <v>44221834</v>
      </c>
      <c r="I10" s="21">
        <f t="shared" si="0"/>
        <v>36936249</v>
      </c>
      <c r="J10" s="22">
        <f t="shared" ref="J10:J15" si="1">G10/D10</f>
        <v>0.99624629931053854</v>
      </c>
    </row>
    <row r="11" spans="1:10" s="28" customFormat="1" ht="16.5" customHeight="1">
      <c r="A11" s="487"/>
      <c r="B11" s="24" t="s">
        <v>47</v>
      </c>
      <c r="C11" s="25" t="s">
        <v>48</v>
      </c>
      <c r="D11" s="26">
        <f t="shared" ref="D11:I11" si="2">SUM(D12)</f>
        <v>10534000</v>
      </c>
      <c r="E11" s="26">
        <f t="shared" si="2"/>
        <v>10534000</v>
      </c>
      <c r="F11" s="26">
        <f t="shared" si="2"/>
        <v>0</v>
      </c>
      <c r="G11" s="26">
        <f t="shared" si="2"/>
        <v>10265049</v>
      </c>
      <c r="H11" s="26">
        <f t="shared" si="2"/>
        <v>10265049</v>
      </c>
      <c r="I11" s="26">
        <f t="shared" si="2"/>
        <v>0</v>
      </c>
      <c r="J11" s="27">
        <f t="shared" si="1"/>
        <v>0.97446829314600347</v>
      </c>
    </row>
    <row r="12" spans="1:10" s="28" customFormat="1" ht="25.5">
      <c r="A12" s="487"/>
      <c r="B12" s="29"/>
      <c r="C12" s="30" t="s">
        <v>49</v>
      </c>
      <c r="D12" s="31">
        <f>SUM(E12:F12)</f>
        <v>10534000</v>
      </c>
      <c r="E12" s="31">
        <v>10534000</v>
      </c>
      <c r="F12" s="31">
        <v>0</v>
      </c>
      <c r="G12" s="31">
        <f>SUM(H12:I12)</f>
        <v>10265049</v>
      </c>
      <c r="H12" s="31">
        <v>10265049</v>
      </c>
      <c r="I12" s="31">
        <v>0</v>
      </c>
      <c r="J12" s="32">
        <f>G12/D12</f>
        <v>0.97446829314600347</v>
      </c>
    </row>
    <row r="13" spans="1:10" s="34" customFormat="1" ht="15">
      <c r="A13" s="487"/>
      <c r="B13" s="24" t="s">
        <v>12</v>
      </c>
      <c r="C13" s="33" t="s">
        <v>13</v>
      </c>
      <c r="D13" s="26">
        <f>SUM(D14)</f>
        <v>20000</v>
      </c>
      <c r="E13" s="26">
        <f>SUM(E14)</f>
        <v>20000</v>
      </c>
      <c r="F13" s="26">
        <v>0</v>
      </c>
      <c r="G13" s="26">
        <f>SUM(G14)</f>
        <v>19999</v>
      </c>
      <c r="H13" s="26">
        <f>SUM(H14)</f>
        <v>19999</v>
      </c>
      <c r="I13" s="26">
        <f>SUM(I14)</f>
        <v>0</v>
      </c>
      <c r="J13" s="27">
        <f t="shared" si="1"/>
        <v>0.99995000000000001</v>
      </c>
    </row>
    <row r="14" spans="1:10" s="37" customFormat="1" ht="38.25">
      <c r="A14" s="487"/>
      <c r="B14" s="35"/>
      <c r="C14" s="36" t="s">
        <v>50</v>
      </c>
      <c r="D14" s="31">
        <f>SUM(E14:F14)</f>
        <v>20000</v>
      </c>
      <c r="E14" s="31">
        <v>20000</v>
      </c>
      <c r="F14" s="31">
        <v>0</v>
      </c>
      <c r="G14" s="31">
        <f>SUM(H14:I14)</f>
        <v>19999</v>
      </c>
      <c r="H14" s="31">
        <v>19999</v>
      </c>
      <c r="I14" s="31">
        <v>0</v>
      </c>
      <c r="J14" s="32">
        <f t="shared" si="1"/>
        <v>0.99995000000000001</v>
      </c>
    </row>
    <row r="15" spans="1:10" s="34" customFormat="1" ht="15" customHeight="1">
      <c r="A15" s="487"/>
      <c r="B15" s="24" t="s">
        <v>51</v>
      </c>
      <c r="C15" s="25" t="s">
        <v>52</v>
      </c>
      <c r="D15" s="26">
        <f t="shared" ref="D15:I15" si="3">SUM(D16)</f>
        <v>147200</v>
      </c>
      <c r="E15" s="26">
        <f t="shared" si="3"/>
        <v>147200</v>
      </c>
      <c r="F15" s="26">
        <f t="shared" si="3"/>
        <v>0</v>
      </c>
      <c r="G15" s="26">
        <f t="shared" si="3"/>
        <v>151587</v>
      </c>
      <c r="H15" s="26">
        <f t="shared" si="3"/>
        <v>151587</v>
      </c>
      <c r="I15" s="26">
        <f t="shared" si="3"/>
        <v>0</v>
      </c>
      <c r="J15" s="27">
        <f t="shared" si="1"/>
        <v>1.0298029891304348</v>
      </c>
    </row>
    <row r="16" spans="1:10" s="37" customFormat="1" ht="25.5">
      <c r="A16" s="487"/>
      <c r="B16" s="35"/>
      <c r="C16" s="38" t="s">
        <v>53</v>
      </c>
      <c r="D16" s="31">
        <f>SUM(E16:F16)</f>
        <v>147200</v>
      </c>
      <c r="E16" s="31">
        <v>147200</v>
      </c>
      <c r="F16" s="31">
        <v>0</v>
      </c>
      <c r="G16" s="31">
        <f>SUM(H16:I16)</f>
        <v>151587</v>
      </c>
      <c r="H16" s="31">
        <v>151587</v>
      </c>
      <c r="I16" s="31">
        <v>0</v>
      </c>
      <c r="J16" s="32">
        <f>G16/D16*100%</f>
        <v>1.0298029891304348</v>
      </c>
    </row>
    <row r="17" spans="1:12" s="39" customFormat="1" ht="15">
      <c r="A17" s="487"/>
      <c r="B17" s="24" t="s">
        <v>14</v>
      </c>
      <c r="C17" s="25" t="s">
        <v>15</v>
      </c>
      <c r="D17" s="26">
        <f t="shared" ref="D17:I17" si="4">SUM(D18:D27)</f>
        <v>42270526</v>
      </c>
      <c r="E17" s="26">
        <f t="shared" si="4"/>
        <v>15320579</v>
      </c>
      <c r="F17" s="26">
        <f t="shared" si="4"/>
        <v>26949947</v>
      </c>
      <c r="G17" s="26">
        <f t="shared" si="4"/>
        <v>42261927</v>
      </c>
      <c r="H17" s="26">
        <f t="shared" si="4"/>
        <v>15324863</v>
      </c>
      <c r="I17" s="26">
        <f t="shared" si="4"/>
        <v>26937064</v>
      </c>
      <c r="J17" s="27">
        <f t="shared" ref="J17:J30" si="5">G17/D17</f>
        <v>0.99979657220257911</v>
      </c>
    </row>
    <row r="18" spans="1:12" s="37" customFormat="1" ht="38.25">
      <c r="A18" s="487"/>
      <c r="B18" s="515"/>
      <c r="C18" s="36" t="s">
        <v>54</v>
      </c>
      <c r="D18" s="31">
        <f t="shared" ref="D18:D27" si="6">SUM(E18:F18)</f>
        <v>1579</v>
      </c>
      <c r="E18" s="31">
        <v>1579</v>
      </c>
      <c r="F18" s="31">
        <v>0</v>
      </c>
      <c r="G18" s="31">
        <f t="shared" ref="G18:G27" si="7">SUM(H18:I18)</f>
        <v>5863</v>
      </c>
      <c r="H18" s="31">
        <v>5863</v>
      </c>
      <c r="I18" s="31">
        <v>0</v>
      </c>
      <c r="J18" s="32">
        <f t="shared" si="5"/>
        <v>3.7131095630145663</v>
      </c>
    </row>
    <row r="19" spans="1:12" s="37" customFormat="1" ht="38.25">
      <c r="A19" s="487"/>
      <c r="B19" s="515"/>
      <c r="C19" s="40" t="s">
        <v>55</v>
      </c>
      <c r="D19" s="31">
        <f>SUM(E19:F19)</f>
        <v>17486695</v>
      </c>
      <c r="E19" s="31">
        <v>15219000</v>
      </c>
      <c r="F19" s="41">
        <v>2267695</v>
      </c>
      <c r="G19" s="31">
        <f t="shared" si="7"/>
        <v>17486081</v>
      </c>
      <c r="H19" s="31">
        <v>15219000</v>
      </c>
      <c r="I19" s="42">
        <v>2267081</v>
      </c>
      <c r="J19" s="32">
        <f t="shared" si="5"/>
        <v>0.99996488759025071</v>
      </c>
    </row>
    <row r="20" spans="1:12" s="37" customFormat="1" ht="38.25">
      <c r="A20" s="487"/>
      <c r="B20" s="515"/>
      <c r="C20" s="43" t="s">
        <v>403</v>
      </c>
      <c r="D20" s="31">
        <f t="shared" si="6"/>
        <v>100000</v>
      </c>
      <c r="E20" s="31">
        <v>100000</v>
      </c>
      <c r="F20" s="31">
        <v>0</v>
      </c>
      <c r="G20" s="31">
        <f t="shared" si="7"/>
        <v>100000</v>
      </c>
      <c r="H20" s="31">
        <v>100000</v>
      </c>
      <c r="I20" s="41">
        <v>0</v>
      </c>
      <c r="J20" s="32">
        <f t="shared" si="5"/>
        <v>1</v>
      </c>
    </row>
    <row r="21" spans="1:12" s="37" customFormat="1" ht="79.5" customHeight="1">
      <c r="A21" s="487"/>
      <c r="B21" s="515"/>
      <c r="C21" s="44" t="s">
        <v>56</v>
      </c>
      <c r="D21" s="41">
        <f t="shared" si="6"/>
        <v>180109</v>
      </c>
      <c r="E21" s="41">
        <v>0</v>
      </c>
      <c r="F21" s="41">
        <v>180109</v>
      </c>
      <c r="G21" s="41">
        <f t="shared" si="7"/>
        <v>180065</v>
      </c>
      <c r="H21" s="41">
        <v>0</v>
      </c>
      <c r="I21" s="41">
        <v>180065</v>
      </c>
      <c r="J21" s="45">
        <f t="shared" si="5"/>
        <v>0.999755703490664</v>
      </c>
      <c r="L21" s="46"/>
    </row>
    <row r="22" spans="1:12" s="37" customFormat="1" ht="38.25">
      <c r="A22" s="487"/>
      <c r="B22" s="515"/>
      <c r="C22" s="47" t="s">
        <v>57</v>
      </c>
      <c r="D22" s="31">
        <f t="shared" si="6"/>
        <v>11198368</v>
      </c>
      <c r="E22" s="31">
        <v>0</v>
      </c>
      <c r="F22" s="31">
        <v>11198368</v>
      </c>
      <c r="G22" s="31">
        <f t="shared" si="7"/>
        <v>11198368</v>
      </c>
      <c r="H22" s="31">
        <v>0</v>
      </c>
      <c r="I22" s="31">
        <v>11198368</v>
      </c>
      <c r="J22" s="32">
        <f t="shared" si="5"/>
        <v>1</v>
      </c>
    </row>
    <row r="23" spans="1:12" s="37" customFormat="1" ht="38.25">
      <c r="A23" s="487"/>
      <c r="B23" s="515"/>
      <c r="C23" s="47" t="s">
        <v>58</v>
      </c>
      <c r="D23" s="31">
        <f t="shared" si="6"/>
        <v>7054322</v>
      </c>
      <c r="E23" s="31">
        <v>0</v>
      </c>
      <c r="F23" s="31">
        <v>7054322</v>
      </c>
      <c r="G23" s="31">
        <f t="shared" si="7"/>
        <v>7054321</v>
      </c>
      <c r="H23" s="31">
        <v>0</v>
      </c>
      <c r="I23" s="31">
        <v>7054321</v>
      </c>
      <c r="J23" s="32">
        <f t="shared" si="5"/>
        <v>0.99999985824293247</v>
      </c>
    </row>
    <row r="24" spans="1:12" s="37" customFormat="1" ht="79.5" customHeight="1">
      <c r="A24" s="487"/>
      <c r="B24" s="515"/>
      <c r="C24" s="44" t="s">
        <v>59</v>
      </c>
      <c r="D24" s="41">
        <f t="shared" si="6"/>
        <v>391152</v>
      </c>
      <c r="E24" s="41">
        <v>0</v>
      </c>
      <c r="F24" s="41">
        <v>391152</v>
      </c>
      <c r="G24" s="41">
        <f t="shared" si="7"/>
        <v>391152</v>
      </c>
      <c r="H24" s="41">
        <v>0</v>
      </c>
      <c r="I24" s="41">
        <v>391152</v>
      </c>
      <c r="J24" s="45">
        <f t="shared" si="5"/>
        <v>1</v>
      </c>
    </row>
    <row r="25" spans="1:12" s="37" customFormat="1" ht="38.25">
      <c r="A25" s="487"/>
      <c r="B25" s="515"/>
      <c r="C25" s="47" t="s">
        <v>60</v>
      </c>
      <c r="D25" s="31">
        <f t="shared" si="6"/>
        <v>3473937</v>
      </c>
      <c r="E25" s="31">
        <v>0</v>
      </c>
      <c r="F25" s="31">
        <v>3473937</v>
      </c>
      <c r="G25" s="31">
        <f t="shared" si="7"/>
        <v>3466484</v>
      </c>
      <c r="H25" s="31">
        <v>0</v>
      </c>
      <c r="I25" s="41">
        <v>3466484</v>
      </c>
      <c r="J25" s="32">
        <f t="shared" si="5"/>
        <v>0.99785459552087441</v>
      </c>
    </row>
    <row r="26" spans="1:12" s="37" customFormat="1" ht="38.25">
      <c r="A26" s="487"/>
      <c r="B26" s="515"/>
      <c r="C26" s="47" t="s">
        <v>61</v>
      </c>
      <c r="D26" s="31">
        <f t="shared" si="6"/>
        <v>1157979</v>
      </c>
      <c r="E26" s="31">
        <v>0</v>
      </c>
      <c r="F26" s="31">
        <v>1157979</v>
      </c>
      <c r="G26" s="31">
        <f t="shared" si="7"/>
        <v>1155495</v>
      </c>
      <c r="H26" s="31">
        <v>0</v>
      </c>
      <c r="I26" s="41">
        <v>1155495</v>
      </c>
      <c r="J26" s="32">
        <f t="shared" si="5"/>
        <v>0.99785488337871409</v>
      </c>
      <c r="K26" s="46"/>
      <c r="L26" s="46"/>
    </row>
    <row r="27" spans="1:12" s="37" customFormat="1" ht="79.5" customHeight="1">
      <c r="A27" s="487"/>
      <c r="B27" s="515"/>
      <c r="C27" s="47" t="s">
        <v>62</v>
      </c>
      <c r="D27" s="31">
        <f t="shared" si="6"/>
        <v>1226385</v>
      </c>
      <c r="E27" s="31">
        <v>0</v>
      </c>
      <c r="F27" s="31">
        <v>1226385</v>
      </c>
      <c r="G27" s="31">
        <f t="shared" si="7"/>
        <v>1224098</v>
      </c>
      <c r="H27" s="31">
        <v>0</v>
      </c>
      <c r="I27" s="41">
        <v>1224098</v>
      </c>
      <c r="J27" s="32">
        <f t="shared" si="5"/>
        <v>0.99813516962454696</v>
      </c>
    </row>
    <row r="28" spans="1:12" s="34" customFormat="1" ht="15">
      <c r="A28" s="487"/>
      <c r="B28" s="24" t="s">
        <v>16</v>
      </c>
      <c r="C28" s="33" t="s">
        <v>17</v>
      </c>
      <c r="D28" s="26">
        <f t="shared" ref="D28:I28" si="8">SUM(D29:D30)</f>
        <v>5203000</v>
      </c>
      <c r="E28" s="26">
        <f t="shared" si="8"/>
        <v>5143000</v>
      </c>
      <c r="F28" s="26">
        <f t="shared" si="8"/>
        <v>60000</v>
      </c>
      <c r="G28" s="26">
        <f t="shared" si="8"/>
        <v>4646839</v>
      </c>
      <c r="H28" s="26">
        <f t="shared" si="8"/>
        <v>4586839</v>
      </c>
      <c r="I28" s="26">
        <f t="shared" si="8"/>
        <v>60000</v>
      </c>
      <c r="J28" s="27">
        <f t="shared" si="5"/>
        <v>0.8931076302133385</v>
      </c>
    </row>
    <row r="29" spans="1:12" s="37" customFormat="1" ht="63.75">
      <c r="A29" s="487"/>
      <c r="B29" s="496"/>
      <c r="C29" s="48" t="s">
        <v>63</v>
      </c>
      <c r="D29" s="31">
        <f>SUM(E29:F29)</f>
        <v>3902000</v>
      </c>
      <c r="E29" s="31">
        <v>3857000</v>
      </c>
      <c r="F29" s="31">
        <v>45000</v>
      </c>
      <c r="G29" s="31">
        <f>SUM(H29:I29)</f>
        <v>3485083</v>
      </c>
      <c r="H29" s="41">
        <v>3440083</v>
      </c>
      <c r="I29" s="41">
        <v>45000</v>
      </c>
      <c r="J29" s="32">
        <f t="shared" si="5"/>
        <v>0.89315299846232699</v>
      </c>
    </row>
    <row r="30" spans="1:12" s="37" customFormat="1" ht="78" customHeight="1">
      <c r="A30" s="487"/>
      <c r="B30" s="496"/>
      <c r="C30" s="48" t="s">
        <v>64</v>
      </c>
      <c r="D30" s="31">
        <f>SUM(E30:F30)</f>
        <v>1301000</v>
      </c>
      <c r="E30" s="31">
        <v>1286000</v>
      </c>
      <c r="F30" s="31">
        <v>15000</v>
      </c>
      <c r="G30" s="31">
        <f>SUM(H30:I30)</f>
        <v>1161756</v>
      </c>
      <c r="H30" s="41">
        <v>1146756</v>
      </c>
      <c r="I30" s="41">
        <v>15000</v>
      </c>
      <c r="J30" s="32">
        <f t="shared" si="5"/>
        <v>0.89297156033820135</v>
      </c>
    </row>
    <row r="31" spans="1:12" s="34" customFormat="1" ht="15">
      <c r="A31" s="487"/>
      <c r="B31" s="24" t="s">
        <v>65</v>
      </c>
      <c r="C31" s="33" t="s">
        <v>66</v>
      </c>
      <c r="D31" s="26">
        <f>SUM(D32:D35)</f>
        <v>9843611</v>
      </c>
      <c r="E31" s="26">
        <f t="shared" ref="E31:I31" si="9">SUM(E32:E35)</f>
        <v>9843611</v>
      </c>
      <c r="F31" s="26">
        <f t="shared" si="9"/>
        <v>0</v>
      </c>
      <c r="G31" s="26">
        <f t="shared" si="9"/>
        <v>10368104</v>
      </c>
      <c r="H31" s="26">
        <f t="shared" si="9"/>
        <v>10368104</v>
      </c>
      <c r="I31" s="26">
        <f t="shared" si="9"/>
        <v>0</v>
      </c>
      <c r="J31" s="27">
        <f>G31/D31</f>
        <v>1.0532825809553019</v>
      </c>
    </row>
    <row r="32" spans="1:12" s="460" customFormat="1" ht="12.75">
      <c r="A32" s="487"/>
      <c r="B32" s="515"/>
      <c r="C32" s="36" t="s">
        <v>67</v>
      </c>
      <c r="D32" s="41">
        <f>SUM(E32:F32)</f>
        <v>9713172</v>
      </c>
      <c r="E32" s="42">
        <f>9322073+391099</f>
        <v>9713172</v>
      </c>
      <c r="F32" s="41">
        <v>0</v>
      </c>
      <c r="G32" s="41">
        <f>SUM(H32:I32)</f>
        <v>10162961</v>
      </c>
      <c r="H32" s="41">
        <f>9717450+445511</f>
        <v>10162961</v>
      </c>
      <c r="I32" s="41">
        <v>0</v>
      </c>
      <c r="J32" s="45">
        <f>G32/D32</f>
        <v>1.0463071177983876</v>
      </c>
    </row>
    <row r="33" spans="1:10" s="37" customFormat="1" ht="25.5">
      <c r="A33" s="487"/>
      <c r="B33" s="515"/>
      <c r="C33" s="36" t="s">
        <v>68</v>
      </c>
      <c r="D33" s="41">
        <f>SUM(E33:F33)</f>
        <v>130433</v>
      </c>
      <c r="E33" s="41">
        <v>130433</v>
      </c>
      <c r="F33" s="41">
        <v>0</v>
      </c>
      <c r="G33" s="41">
        <f>SUM(H33:I33)</f>
        <v>200769</v>
      </c>
      <c r="H33" s="41">
        <v>200769</v>
      </c>
      <c r="I33" s="41">
        <v>0</v>
      </c>
      <c r="J33" s="45">
        <f>G33/D33</f>
        <v>1.5392500364171644</v>
      </c>
    </row>
    <row r="34" spans="1:10" s="37" customFormat="1" ht="25.5">
      <c r="A34" s="487"/>
      <c r="B34" s="515"/>
      <c r="C34" s="36" t="s">
        <v>69</v>
      </c>
      <c r="D34" s="41">
        <f>SUM(E34:F34)</f>
        <v>0</v>
      </c>
      <c r="E34" s="54">
        <v>0</v>
      </c>
      <c r="F34" s="41">
        <v>0</v>
      </c>
      <c r="G34" s="41">
        <f>SUM(H34:I34)</f>
        <v>4368</v>
      </c>
      <c r="H34" s="41">
        <v>4368</v>
      </c>
      <c r="I34" s="41">
        <v>0</v>
      </c>
      <c r="J34" s="303"/>
    </row>
    <row r="35" spans="1:10" s="37" customFormat="1" ht="51">
      <c r="A35" s="487"/>
      <c r="B35" s="515"/>
      <c r="C35" s="49" t="s">
        <v>70</v>
      </c>
      <c r="D35" s="41">
        <f>SUM(E35:F35)</f>
        <v>6</v>
      </c>
      <c r="E35" s="41">
        <v>6</v>
      </c>
      <c r="F35" s="41">
        <v>0</v>
      </c>
      <c r="G35" s="41">
        <f>SUM(H35:I35)</f>
        <v>6</v>
      </c>
      <c r="H35" s="41">
        <v>6</v>
      </c>
      <c r="I35" s="41">
        <v>0</v>
      </c>
      <c r="J35" s="45">
        <f t="shared" ref="J35:J72" si="10">G35/D35</f>
        <v>1</v>
      </c>
    </row>
    <row r="36" spans="1:10" s="34" customFormat="1" ht="15">
      <c r="A36" s="487"/>
      <c r="B36" s="29" t="s">
        <v>18</v>
      </c>
      <c r="C36" s="33" t="s">
        <v>19</v>
      </c>
      <c r="D36" s="26">
        <f t="shared" ref="D36:I36" si="11">SUM(D37:D41)</f>
        <v>13200820</v>
      </c>
      <c r="E36" s="26">
        <f t="shared" si="11"/>
        <v>3260581</v>
      </c>
      <c r="F36" s="26">
        <f t="shared" si="11"/>
        <v>9940239</v>
      </c>
      <c r="G36" s="26">
        <f t="shared" si="11"/>
        <v>13199765</v>
      </c>
      <c r="H36" s="26">
        <f t="shared" si="11"/>
        <v>3260580</v>
      </c>
      <c r="I36" s="26">
        <f t="shared" si="11"/>
        <v>9939185</v>
      </c>
      <c r="J36" s="27">
        <f t="shared" si="10"/>
        <v>0.99992008072225813</v>
      </c>
    </row>
    <row r="37" spans="1:10" s="37" customFormat="1" ht="38.25">
      <c r="A37" s="487"/>
      <c r="B37" s="515"/>
      <c r="C37" s="48" t="s">
        <v>71</v>
      </c>
      <c r="D37" s="31">
        <f t="shared" ref="D37:D41" si="12">SUM(E37:F37)</f>
        <v>3089112</v>
      </c>
      <c r="E37" s="31">
        <v>587079</v>
      </c>
      <c r="F37" s="31">
        <v>2502033</v>
      </c>
      <c r="G37" s="31">
        <f t="shared" ref="G37:G41" si="13">SUM(H37:I37)</f>
        <v>3089111</v>
      </c>
      <c r="H37" s="31">
        <v>587079</v>
      </c>
      <c r="I37" s="41">
        <v>2502032</v>
      </c>
      <c r="J37" s="32">
        <f t="shared" si="10"/>
        <v>0.99999967628237496</v>
      </c>
    </row>
    <row r="38" spans="1:10" s="37" customFormat="1" ht="38.25">
      <c r="A38" s="487"/>
      <c r="B38" s="515"/>
      <c r="C38" s="48" t="s">
        <v>72</v>
      </c>
      <c r="D38" s="31">
        <f t="shared" si="12"/>
        <v>2530301</v>
      </c>
      <c r="E38" s="31">
        <v>2530301</v>
      </c>
      <c r="F38" s="31">
        <v>0</v>
      </c>
      <c r="G38" s="31">
        <f t="shared" si="13"/>
        <v>2530300</v>
      </c>
      <c r="H38" s="31">
        <v>2530300</v>
      </c>
      <c r="I38" s="31">
        <v>0</v>
      </c>
      <c r="J38" s="32">
        <f t="shared" si="10"/>
        <v>0.99999960479010208</v>
      </c>
    </row>
    <row r="39" spans="1:10" s="37" customFormat="1" ht="25.5">
      <c r="A39" s="487"/>
      <c r="B39" s="515"/>
      <c r="C39" s="48" t="s">
        <v>73</v>
      </c>
      <c r="D39" s="31">
        <f t="shared" si="12"/>
        <v>143201</v>
      </c>
      <c r="E39" s="31">
        <v>143201</v>
      </c>
      <c r="F39" s="31">
        <v>0</v>
      </c>
      <c r="G39" s="31">
        <f t="shared" si="13"/>
        <v>143201</v>
      </c>
      <c r="H39" s="31">
        <v>143201</v>
      </c>
      <c r="I39" s="31">
        <v>0</v>
      </c>
      <c r="J39" s="32">
        <f t="shared" si="10"/>
        <v>1</v>
      </c>
    </row>
    <row r="40" spans="1:10" s="37" customFormat="1" ht="76.5">
      <c r="A40" s="487"/>
      <c r="B40" s="515"/>
      <c r="C40" s="47" t="s">
        <v>59</v>
      </c>
      <c r="D40" s="31">
        <f t="shared" si="12"/>
        <v>4940206</v>
      </c>
      <c r="E40" s="31">
        <v>0</v>
      </c>
      <c r="F40" s="31">
        <v>4940206</v>
      </c>
      <c r="G40" s="31">
        <f t="shared" si="13"/>
        <v>4939153</v>
      </c>
      <c r="H40" s="31">
        <v>0</v>
      </c>
      <c r="I40" s="42">
        <v>4939153</v>
      </c>
      <c r="J40" s="32">
        <f t="shared" si="10"/>
        <v>0.99978685099366305</v>
      </c>
    </row>
    <row r="41" spans="1:10" s="37" customFormat="1" ht="38.25">
      <c r="A41" s="487"/>
      <c r="B41" s="515"/>
      <c r="C41" s="47" t="s">
        <v>74</v>
      </c>
      <c r="D41" s="31">
        <f t="shared" si="12"/>
        <v>2498000</v>
      </c>
      <c r="E41" s="31">
        <v>0</v>
      </c>
      <c r="F41" s="31">
        <v>2498000</v>
      </c>
      <c r="G41" s="31">
        <f t="shared" si="13"/>
        <v>2498000</v>
      </c>
      <c r="H41" s="31">
        <v>0</v>
      </c>
      <c r="I41" s="41">
        <v>2498000</v>
      </c>
      <c r="J41" s="32">
        <f t="shared" si="10"/>
        <v>1</v>
      </c>
    </row>
    <row r="42" spans="1:10" s="37" customFormat="1" ht="12.75">
      <c r="A42" s="487"/>
      <c r="B42" s="24" t="s">
        <v>36</v>
      </c>
      <c r="C42" s="33" t="s">
        <v>22</v>
      </c>
      <c r="D42" s="26">
        <f>SUM(D43:D44)</f>
        <v>244717</v>
      </c>
      <c r="E42" s="26">
        <f t="shared" ref="E42:I42" si="14">SUM(E43:E44)</f>
        <v>244717</v>
      </c>
      <c r="F42" s="26">
        <f t="shared" si="14"/>
        <v>0</v>
      </c>
      <c r="G42" s="26">
        <f t="shared" si="14"/>
        <v>244813</v>
      </c>
      <c r="H42" s="26">
        <f t="shared" si="14"/>
        <v>244813</v>
      </c>
      <c r="I42" s="26">
        <f t="shared" si="14"/>
        <v>0</v>
      </c>
      <c r="J42" s="27">
        <f t="shared" si="10"/>
        <v>1.0003922898695228</v>
      </c>
    </row>
    <row r="43" spans="1:10" s="37" customFormat="1" ht="38.25">
      <c r="A43" s="487"/>
      <c r="B43" s="483"/>
      <c r="C43" s="40" t="s">
        <v>75</v>
      </c>
      <c r="D43" s="31">
        <f>SUM(E43:F43)</f>
        <v>0</v>
      </c>
      <c r="E43" s="31">
        <v>0</v>
      </c>
      <c r="F43" s="31">
        <v>0</v>
      </c>
      <c r="G43" s="31">
        <f>SUM(H43:I43)</f>
        <v>230</v>
      </c>
      <c r="H43" s="31">
        <v>230</v>
      </c>
      <c r="I43" s="31">
        <v>0</v>
      </c>
      <c r="J43" s="32"/>
    </row>
    <row r="44" spans="1:10" s="37" customFormat="1" ht="38.25">
      <c r="A44" s="487"/>
      <c r="B44" s="486"/>
      <c r="C44" s="47" t="s">
        <v>50</v>
      </c>
      <c r="D44" s="31">
        <f>SUM(E44:F44)</f>
        <v>244717</v>
      </c>
      <c r="E44" s="31">
        <v>244717</v>
      </c>
      <c r="F44" s="31">
        <v>0</v>
      </c>
      <c r="G44" s="31">
        <f>SUM(H44:I44)</f>
        <v>244583</v>
      </c>
      <c r="H44" s="31">
        <v>244583</v>
      </c>
      <c r="I44" s="31">
        <v>0</v>
      </c>
      <c r="J44" s="32">
        <f t="shared" si="10"/>
        <v>0.99945242872379114</v>
      </c>
    </row>
    <row r="45" spans="1:10" s="23" customFormat="1" ht="15.75">
      <c r="A45" s="19" t="s">
        <v>76</v>
      </c>
      <c r="B45" s="19"/>
      <c r="C45" s="50" t="s">
        <v>77</v>
      </c>
      <c r="D45" s="21">
        <f t="shared" ref="D45:I45" si="15">SUM(D46)</f>
        <v>496000</v>
      </c>
      <c r="E45" s="21">
        <f t="shared" si="15"/>
        <v>485365</v>
      </c>
      <c r="F45" s="21">
        <f t="shared" si="15"/>
        <v>10635</v>
      </c>
      <c r="G45" s="21">
        <f t="shared" si="15"/>
        <v>461345</v>
      </c>
      <c r="H45" s="21">
        <f t="shared" si="15"/>
        <v>452034</v>
      </c>
      <c r="I45" s="21">
        <f t="shared" si="15"/>
        <v>9311</v>
      </c>
      <c r="J45" s="22">
        <f t="shared" si="10"/>
        <v>0.93013104838709681</v>
      </c>
    </row>
    <row r="46" spans="1:10" s="23" customFormat="1" ht="25.5">
      <c r="A46" s="508"/>
      <c r="B46" s="51" t="s">
        <v>78</v>
      </c>
      <c r="C46" s="52" t="s">
        <v>79</v>
      </c>
      <c r="D46" s="53">
        <f t="shared" ref="D46:I46" si="16">SUM(D47:D49)</f>
        <v>496000</v>
      </c>
      <c r="E46" s="53">
        <f t="shared" si="16"/>
        <v>485365</v>
      </c>
      <c r="F46" s="53">
        <f t="shared" si="16"/>
        <v>10635</v>
      </c>
      <c r="G46" s="53">
        <f t="shared" si="16"/>
        <v>461345</v>
      </c>
      <c r="H46" s="53">
        <f t="shared" si="16"/>
        <v>452034</v>
      </c>
      <c r="I46" s="53">
        <f t="shared" si="16"/>
        <v>9311</v>
      </c>
      <c r="J46" s="27">
        <f t="shared" si="10"/>
        <v>0.93013104838709681</v>
      </c>
    </row>
    <row r="47" spans="1:10" s="55" customFormat="1" ht="55.5" customHeight="1">
      <c r="A47" s="508"/>
      <c r="B47" s="493"/>
      <c r="C47" s="47" t="s">
        <v>80</v>
      </c>
      <c r="D47" s="54">
        <f>SUM(E47:F47)</f>
        <v>372000</v>
      </c>
      <c r="E47" s="54">
        <v>365000</v>
      </c>
      <c r="F47" s="54">
        <v>7000</v>
      </c>
      <c r="G47" s="54">
        <f>SUM(H47:I47)</f>
        <v>343932</v>
      </c>
      <c r="H47" s="54">
        <v>338254</v>
      </c>
      <c r="I47" s="54">
        <v>5678</v>
      </c>
      <c r="J47" s="32">
        <f t="shared" si="10"/>
        <v>0.92454838709677423</v>
      </c>
    </row>
    <row r="48" spans="1:10" s="23" customFormat="1" ht="51">
      <c r="A48" s="509"/>
      <c r="B48" s="500"/>
      <c r="C48" s="47" t="s">
        <v>386</v>
      </c>
      <c r="D48" s="54">
        <f>SUM(E48:F48)</f>
        <v>5142</v>
      </c>
      <c r="E48" s="54">
        <v>3400</v>
      </c>
      <c r="F48" s="54">
        <v>1742</v>
      </c>
      <c r="G48" s="54">
        <f>SUM(H48:I48)</f>
        <v>2768</v>
      </c>
      <c r="H48" s="54">
        <v>1027</v>
      </c>
      <c r="I48" s="54">
        <v>1741</v>
      </c>
      <c r="J48" s="32">
        <f t="shared" ref="J48" si="17">G48/D48</f>
        <v>0.53831194087903544</v>
      </c>
    </row>
    <row r="49" spans="1:10" s="23" customFormat="1" ht="51">
      <c r="A49" s="508"/>
      <c r="B49" s="493"/>
      <c r="C49" s="47" t="s">
        <v>81</v>
      </c>
      <c r="D49" s="54">
        <f>SUM(E49:F49)</f>
        <v>118858</v>
      </c>
      <c r="E49" s="54">
        <v>116965</v>
      </c>
      <c r="F49" s="54">
        <v>1893</v>
      </c>
      <c r="G49" s="54">
        <f>SUM(H49:I49)</f>
        <v>114645</v>
      </c>
      <c r="H49" s="54">
        <v>112753</v>
      </c>
      <c r="I49" s="54">
        <v>1892</v>
      </c>
      <c r="J49" s="32">
        <f t="shared" si="10"/>
        <v>0.96455434215618641</v>
      </c>
    </row>
    <row r="50" spans="1:10" s="23" customFormat="1" ht="15.75">
      <c r="A50" s="19" t="s">
        <v>82</v>
      </c>
      <c r="B50" s="19"/>
      <c r="C50" s="50" t="s">
        <v>83</v>
      </c>
      <c r="D50" s="21">
        <f>SUM(D51,D57,D61)</f>
        <v>903579</v>
      </c>
      <c r="E50" s="21">
        <f t="shared" ref="E50:I50" si="18">SUM(E51,E57,E61)</f>
        <v>864527</v>
      </c>
      <c r="F50" s="21">
        <f t="shared" si="18"/>
        <v>39052</v>
      </c>
      <c r="G50" s="21">
        <f t="shared" si="18"/>
        <v>918332</v>
      </c>
      <c r="H50" s="21">
        <f t="shared" si="18"/>
        <v>879282</v>
      </c>
      <c r="I50" s="21">
        <f t="shared" si="18"/>
        <v>39050</v>
      </c>
      <c r="J50" s="56">
        <f t="shared" si="10"/>
        <v>1.0163272940163506</v>
      </c>
    </row>
    <row r="51" spans="1:10" s="34" customFormat="1" ht="15">
      <c r="A51" s="488"/>
      <c r="B51" s="51" t="s">
        <v>84</v>
      </c>
      <c r="C51" s="52" t="s">
        <v>85</v>
      </c>
      <c r="D51" s="53">
        <f t="shared" ref="D51:I51" si="19">SUM(D52:D56)</f>
        <v>516233</v>
      </c>
      <c r="E51" s="53">
        <f t="shared" si="19"/>
        <v>477181</v>
      </c>
      <c r="F51" s="53">
        <f t="shared" si="19"/>
        <v>39052</v>
      </c>
      <c r="G51" s="53">
        <f t="shared" si="19"/>
        <v>516224</v>
      </c>
      <c r="H51" s="53">
        <f t="shared" si="19"/>
        <v>477174</v>
      </c>
      <c r="I51" s="53">
        <f t="shared" si="19"/>
        <v>39050</v>
      </c>
      <c r="J51" s="27">
        <f t="shared" si="10"/>
        <v>0.99998256601185898</v>
      </c>
    </row>
    <row r="52" spans="1:10" s="37" customFormat="1" ht="51">
      <c r="A52" s="503"/>
      <c r="B52" s="508"/>
      <c r="C52" s="57" t="s">
        <v>443</v>
      </c>
      <c r="D52" s="54">
        <f>SUM(E52:F52)</f>
        <v>5824</v>
      </c>
      <c r="E52" s="54">
        <v>5824</v>
      </c>
      <c r="F52" s="54">
        <v>0</v>
      </c>
      <c r="G52" s="54">
        <f>SUM(H52:I52)</f>
        <v>5821</v>
      </c>
      <c r="H52" s="42">
        <v>5821</v>
      </c>
      <c r="I52" s="54">
        <v>0</v>
      </c>
      <c r="J52" s="32">
        <f t="shared" si="10"/>
        <v>0.99948489010989006</v>
      </c>
    </row>
    <row r="53" spans="1:10" s="37" customFormat="1" ht="51">
      <c r="A53" s="503"/>
      <c r="B53" s="508"/>
      <c r="C53" s="57" t="s">
        <v>86</v>
      </c>
      <c r="D53" s="54">
        <f>SUM(E53:F53)</f>
        <v>452257</v>
      </c>
      <c r="E53" s="54">
        <v>452249</v>
      </c>
      <c r="F53" s="54">
        <v>8</v>
      </c>
      <c r="G53" s="54">
        <f>SUM(H53:I53)</f>
        <v>452254</v>
      </c>
      <c r="H53" s="41">
        <v>452246</v>
      </c>
      <c r="I53" s="54">
        <v>8</v>
      </c>
      <c r="J53" s="32">
        <f t="shared" si="10"/>
        <v>0.99999336660350202</v>
      </c>
    </row>
    <row r="54" spans="1:10" s="34" customFormat="1" ht="51">
      <c r="A54" s="503"/>
      <c r="B54" s="508"/>
      <c r="C54" s="48" t="s">
        <v>87</v>
      </c>
      <c r="D54" s="31">
        <f>SUM(E54:F54)</f>
        <v>42777</v>
      </c>
      <c r="E54" s="31">
        <v>3733</v>
      </c>
      <c r="F54" s="31">
        <v>39044</v>
      </c>
      <c r="G54" s="31">
        <f>SUM(H54:I54)</f>
        <v>42774</v>
      </c>
      <c r="H54" s="41">
        <v>3732</v>
      </c>
      <c r="I54" s="31">
        <v>39042</v>
      </c>
      <c r="J54" s="32">
        <f t="shared" si="10"/>
        <v>0.99992986885475843</v>
      </c>
    </row>
    <row r="55" spans="1:10" s="34" customFormat="1" ht="63.75">
      <c r="A55" s="503"/>
      <c r="B55" s="508"/>
      <c r="C55" s="48" t="s">
        <v>88</v>
      </c>
      <c r="D55" s="31">
        <f>SUM(E55:F55)</f>
        <v>15374</v>
      </c>
      <c r="E55" s="31">
        <v>15374</v>
      </c>
      <c r="F55" s="31">
        <v>0</v>
      </c>
      <c r="G55" s="31">
        <f>SUM(H55:I55)</f>
        <v>15373</v>
      </c>
      <c r="H55" s="41">
        <v>15373</v>
      </c>
      <c r="I55" s="31">
        <v>0</v>
      </c>
      <c r="J55" s="32">
        <f t="shared" si="10"/>
        <v>0.99993495511903219</v>
      </c>
    </row>
    <row r="56" spans="1:10" s="34" customFormat="1" ht="25.5">
      <c r="A56" s="503"/>
      <c r="B56" s="508"/>
      <c r="C56" s="40" t="s">
        <v>89</v>
      </c>
      <c r="D56" s="31">
        <f>SUM(E56:F56)</f>
        <v>1</v>
      </c>
      <c r="E56" s="31">
        <v>1</v>
      </c>
      <c r="F56" s="31">
        <v>0</v>
      </c>
      <c r="G56" s="31">
        <f>SUM(H56:I56)</f>
        <v>2</v>
      </c>
      <c r="H56" s="31">
        <v>2</v>
      </c>
      <c r="I56" s="31">
        <v>0</v>
      </c>
      <c r="J56" s="32">
        <f t="shared" si="10"/>
        <v>2</v>
      </c>
    </row>
    <row r="57" spans="1:10" s="34" customFormat="1" ht="15">
      <c r="A57" s="503"/>
      <c r="B57" s="24" t="s">
        <v>90</v>
      </c>
      <c r="C57" s="33" t="s">
        <v>91</v>
      </c>
      <c r="D57" s="26">
        <f t="shared" ref="D57:I57" si="20">SUM(D58:D60)</f>
        <v>386979</v>
      </c>
      <c r="E57" s="26">
        <f t="shared" si="20"/>
        <v>386979</v>
      </c>
      <c r="F57" s="26">
        <f t="shared" si="20"/>
        <v>0</v>
      </c>
      <c r="G57" s="26">
        <f t="shared" si="20"/>
        <v>401741</v>
      </c>
      <c r="H57" s="26">
        <f t="shared" si="20"/>
        <v>401741</v>
      </c>
      <c r="I57" s="26">
        <f t="shared" si="20"/>
        <v>0</v>
      </c>
      <c r="J57" s="27">
        <f t="shared" si="10"/>
        <v>1.0381467728222979</v>
      </c>
    </row>
    <row r="58" spans="1:10" s="34" customFormat="1" ht="51">
      <c r="A58" s="503"/>
      <c r="B58" s="487"/>
      <c r="C58" s="57" t="s">
        <v>443</v>
      </c>
      <c r="D58" s="31">
        <f>SUM(E58:F58)</f>
        <v>5751</v>
      </c>
      <c r="E58" s="31">
        <v>5751</v>
      </c>
      <c r="F58" s="31">
        <v>0</v>
      </c>
      <c r="G58" s="31">
        <f>SUM(H58:I58)</f>
        <v>5973</v>
      </c>
      <c r="H58" s="31">
        <v>5973</v>
      </c>
      <c r="I58" s="31">
        <v>0</v>
      </c>
      <c r="J58" s="32">
        <f t="shared" si="10"/>
        <v>1.0386019822639541</v>
      </c>
    </row>
    <row r="59" spans="1:10" s="34" customFormat="1" ht="51">
      <c r="A59" s="503"/>
      <c r="B59" s="487"/>
      <c r="C59" s="57" t="s">
        <v>86</v>
      </c>
      <c r="D59" s="31">
        <f>SUM(E59:F59)</f>
        <v>377000</v>
      </c>
      <c r="E59" s="31">
        <v>377000</v>
      </c>
      <c r="F59" s="31">
        <v>0</v>
      </c>
      <c r="G59" s="31">
        <f>SUM(H59:I59)</f>
        <v>391544</v>
      </c>
      <c r="H59" s="31">
        <v>391544</v>
      </c>
      <c r="I59" s="31">
        <v>0</v>
      </c>
      <c r="J59" s="32">
        <f t="shared" si="10"/>
        <v>1.03857824933687</v>
      </c>
    </row>
    <row r="60" spans="1:10" s="34" customFormat="1" ht="25.5">
      <c r="A60" s="503"/>
      <c r="B60" s="487"/>
      <c r="C60" s="48" t="s">
        <v>89</v>
      </c>
      <c r="D60" s="31">
        <f>SUM(E60:F60)</f>
        <v>4228</v>
      </c>
      <c r="E60" s="31">
        <v>4228</v>
      </c>
      <c r="F60" s="31">
        <v>0</v>
      </c>
      <c r="G60" s="31">
        <f>SUM(H60:I60)</f>
        <v>4224</v>
      </c>
      <c r="H60" s="31">
        <v>4224</v>
      </c>
      <c r="I60" s="31">
        <v>0</v>
      </c>
      <c r="J60" s="32">
        <f t="shared" si="10"/>
        <v>0.99905392620624411</v>
      </c>
    </row>
    <row r="61" spans="1:10" s="300" customFormat="1" ht="15">
      <c r="A61" s="503"/>
      <c r="B61" s="297" t="s">
        <v>285</v>
      </c>
      <c r="C61" s="298" t="s">
        <v>22</v>
      </c>
      <c r="D61" s="299">
        <f t="shared" ref="D61:I61" si="21">SUM(D62)</f>
        <v>367</v>
      </c>
      <c r="E61" s="299">
        <f t="shared" si="21"/>
        <v>367</v>
      </c>
      <c r="F61" s="299">
        <f t="shared" si="21"/>
        <v>0</v>
      </c>
      <c r="G61" s="299">
        <f t="shared" si="21"/>
        <v>367</v>
      </c>
      <c r="H61" s="299">
        <f t="shared" si="21"/>
        <v>367</v>
      </c>
      <c r="I61" s="299">
        <f t="shared" si="21"/>
        <v>0</v>
      </c>
      <c r="J61" s="32">
        <f t="shared" si="10"/>
        <v>1</v>
      </c>
    </row>
    <row r="62" spans="1:10" s="300" customFormat="1" ht="51">
      <c r="A62" s="504"/>
      <c r="B62" s="297"/>
      <c r="C62" s="301" t="s">
        <v>378</v>
      </c>
      <c r="D62" s="302">
        <f>SUM(E62:F62)</f>
        <v>367</v>
      </c>
      <c r="E62" s="302">
        <v>367</v>
      </c>
      <c r="F62" s="302">
        <v>0</v>
      </c>
      <c r="G62" s="302">
        <f>SUM(H62,I62)</f>
        <v>367</v>
      </c>
      <c r="H62" s="302">
        <v>367</v>
      </c>
      <c r="I62" s="302">
        <v>0</v>
      </c>
      <c r="J62" s="303">
        <f t="shared" ref="J62" si="22">G62/D62</f>
        <v>1</v>
      </c>
    </row>
    <row r="63" spans="1:10" s="58" customFormat="1">
      <c r="A63" s="19" t="s">
        <v>92</v>
      </c>
      <c r="B63" s="19"/>
      <c r="C63" s="50" t="s">
        <v>93</v>
      </c>
      <c r="D63" s="21">
        <f t="shared" ref="D63:I63" si="23">SUM(D64)</f>
        <v>301185</v>
      </c>
      <c r="E63" s="21">
        <f t="shared" si="23"/>
        <v>301185</v>
      </c>
      <c r="F63" s="21">
        <f t="shared" si="23"/>
        <v>0</v>
      </c>
      <c r="G63" s="21">
        <f t="shared" si="23"/>
        <v>264369</v>
      </c>
      <c r="H63" s="21">
        <f t="shared" si="23"/>
        <v>264369</v>
      </c>
      <c r="I63" s="21">
        <f t="shared" si="23"/>
        <v>0</v>
      </c>
      <c r="J63" s="22">
        <f t="shared" si="10"/>
        <v>0.87776283679466105</v>
      </c>
    </row>
    <row r="64" spans="1:10" s="60" customFormat="1">
      <c r="A64" s="493"/>
      <c r="B64" s="51" t="s">
        <v>94</v>
      </c>
      <c r="C64" s="52" t="s">
        <v>95</v>
      </c>
      <c r="D64" s="53">
        <f t="shared" ref="D64:I64" si="24">SUM(D65:D66)</f>
        <v>301185</v>
      </c>
      <c r="E64" s="53">
        <f t="shared" si="24"/>
        <v>301185</v>
      </c>
      <c r="F64" s="53">
        <f t="shared" si="24"/>
        <v>0</v>
      </c>
      <c r="G64" s="53">
        <f t="shared" si="24"/>
        <v>264369</v>
      </c>
      <c r="H64" s="53">
        <f t="shared" si="24"/>
        <v>264369</v>
      </c>
      <c r="I64" s="53">
        <f t="shared" si="24"/>
        <v>0</v>
      </c>
      <c r="J64" s="59">
        <f t="shared" si="10"/>
        <v>0.87776283679466105</v>
      </c>
    </row>
    <row r="65" spans="1:10" s="61" customFormat="1" ht="51">
      <c r="A65" s="493"/>
      <c r="B65" s="494"/>
      <c r="C65" s="40" t="s">
        <v>96</v>
      </c>
      <c r="D65" s="41">
        <f>SUM(E65:F65)</f>
        <v>256007</v>
      </c>
      <c r="E65" s="41">
        <v>256007</v>
      </c>
      <c r="F65" s="41">
        <v>0</v>
      </c>
      <c r="G65" s="41">
        <f>SUM(H65:I65)</f>
        <v>224713</v>
      </c>
      <c r="H65" s="41">
        <v>224713</v>
      </c>
      <c r="I65" s="41">
        <v>0</v>
      </c>
      <c r="J65" s="45">
        <f t="shared" si="10"/>
        <v>0.87776115496841878</v>
      </c>
    </row>
    <row r="66" spans="1:10" s="61" customFormat="1" ht="38.25">
      <c r="A66" s="493"/>
      <c r="B66" s="494"/>
      <c r="C66" s="40" t="s">
        <v>97</v>
      </c>
      <c r="D66" s="41">
        <f>SUM(E66:F66)</f>
        <v>45178</v>
      </c>
      <c r="E66" s="41">
        <v>45178</v>
      </c>
      <c r="F66" s="41">
        <v>0</v>
      </c>
      <c r="G66" s="41">
        <f>SUM(H66:I66)</f>
        <v>39656</v>
      </c>
      <c r="H66" s="41">
        <v>39656</v>
      </c>
      <c r="I66" s="41">
        <v>0</v>
      </c>
      <c r="J66" s="45">
        <f t="shared" si="10"/>
        <v>0.87777236708132278</v>
      </c>
    </row>
    <row r="67" spans="1:10" s="23" customFormat="1" ht="15.75">
      <c r="A67" s="19" t="s">
        <v>98</v>
      </c>
      <c r="B67" s="19"/>
      <c r="C67" s="50" t="s">
        <v>99</v>
      </c>
      <c r="D67" s="21">
        <f t="shared" ref="D67:I67" si="25">SUM(D68,D73,D77,D81,D85,D88,D91)</f>
        <v>101869493</v>
      </c>
      <c r="E67" s="21">
        <f t="shared" si="25"/>
        <v>66682193</v>
      </c>
      <c r="F67" s="21">
        <f t="shared" si="25"/>
        <v>35187300</v>
      </c>
      <c r="G67" s="21">
        <f t="shared" si="25"/>
        <v>101567027</v>
      </c>
      <c r="H67" s="21">
        <f t="shared" si="25"/>
        <v>65682608</v>
      </c>
      <c r="I67" s="21">
        <f t="shared" si="25"/>
        <v>35884419</v>
      </c>
      <c r="J67" s="22">
        <f t="shared" si="10"/>
        <v>0.99703084808716969</v>
      </c>
    </row>
    <row r="68" spans="1:10" s="62" customFormat="1" ht="15">
      <c r="A68" s="493"/>
      <c r="B68" s="51" t="s">
        <v>100</v>
      </c>
      <c r="C68" s="52" t="s">
        <v>101</v>
      </c>
      <c r="D68" s="53">
        <f t="shared" ref="D68:I68" si="26">SUM(D69:D72)</f>
        <v>8397346</v>
      </c>
      <c r="E68" s="53">
        <f t="shared" si="26"/>
        <v>8397346</v>
      </c>
      <c r="F68" s="53">
        <f t="shared" si="26"/>
        <v>0</v>
      </c>
      <c r="G68" s="53">
        <f t="shared" si="26"/>
        <v>7599843</v>
      </c>
      <c r="H68" s="53">
        <f t="shared" si="26"/>
        <v>7599843</v>
      </c>
      <c r="I68" s="53">
        <f t="shared" si="26"/>
        <v>0</v>
      </c>
      <c r="J68" s="59">
        <f t="shared" si="10"/>
        <v>0.90502916040377523</v>
      </c>
    </row>
    <row r="69" spans="1:10" s="64" customFormat="1" ht="12.75">
      <c r="A69" s="493"/>
      <c r="B69" s="501"/>
      <c r="C69" s="40" t="s">
        <v>102</v>
      </c>
      <c r="D69" s="54">
        <f t="shared" ref="D69:D72" si="27">SUM(E69:F69)</f>
        <v>7437699</v>
      </c>
      <c r="E69" s="54">
        <v>7437699</v>
      </c>
      <c r="F69" s="54">
        <v>0</v>
      </c>
      <c r="G69" s="54">
        <f t="shared" ref="G69:G72" si="28">SUM(H69:I69)</f>
        <v>7437712</v>
      </c>
      <c r="H69" s="54">
        <v>7437712</v>
      </c>
      <c r="I69" s="54">
        <v>0</v>
      </c>
      <c r="J69" s="63">
        <f t="shared" si="10"/>
        <v>1.0000017478523935</v>
      </c>
    </row>
    <row r="70" spans="1:10" s="64" customFormat="1" ht="12.75">
      <c r="A70" s="493"/>
      <c r="B70" s="501"/>
      <c r="C70" s="65" t="s">
        <v>444</v>
      </c>
      <c r="D70" s="54">
        <f t="shared" si="27"/>
        <v>800000</v>
      </c>
      <c r="E70" s="54">
        <v>800000</v>
      </c>
      <c r="F70" s="54">
        <v>0</v>
      </c>
      <c r="G70" s="54">
        <f t="shared" si="28"/>
        <v>0</v>
      </c>
      <c r="H70" s="54">
        <v>0</v>
      </c>
      <c r="I70" s="54">
        <v>0</v>
      </c>
      <c r="J70" s="63">
        <f t="shared" si="10"/>
        <v>0</v>
      </c>
    </row>
    <row r="71" spans="1:10" s="64" customFormat="1" ht="66.75" customHeight="1">
      <c r="A71" s="493"/>
      <c r="B71" s="501"/>
      <c r="C71" s="66" t="s">
        <v>381</v>
      </c>
      <c r="D71" s="54">
        <f t="shared" si="27"/>
        <v>2664</v>
      </c>
      <c r="E71" s="54">
        <v>2664</v>
      </c>
      <c r="F71" s="54">
        <v>0</v>
      </c>
      <c r="G71" s="54">
        <f t="shared" si="28"/>
        <v>5148</v>
      </c>
      <c r="H71" s="54">
        <v>5148</v>
      </c>
      <c r="I71" s="54">
        <v>0</v>
      </c>
      <c r="J71" s="63">
        <f t="shared" si="10"/>
        <v>1.9324324324324325</v>
      </c>
    </row>
    <row r="72" spans="1:10" s="64" customFormat="1" ht="25.5">
      <c r="A72" s="493"/>
      <c r="B72" s="501"/>
      <c r="C72" s="66" t="s">
        <v>103</v>
      </c>
      <c r="D72" s="54">
        <f t="shared" si="27"/>
        <v>156983</v>
      </c>
      <c r="E72" s="54">
        <v>156983</v>
      </c>
      <c r="F72" s="54">
        <v>0</v>
      </c>
      <c r="G72" s="54">
        <f t="shared" si="28"/>
        <v>156983</v>
      </c>
      <c r="H72" s="41">
        <v>156983</v>
      </c>
      <c r="I72" s="54">
        <v>0</v>
      </c>
      <c r="J72" s="63">
        <f t="shared" si="10"/>
        <v>1</v>
      </c>
    </row>
    <row r="73" spans="1:10" s="62" customFormat="1" ht="15">
      <c r="A73" s="493"/>
      <c r="B73" s="51" t="s">
        <v>104</v>
      </c>
      <c r="C73" s="52" t="s">
        <v>20</v>
      </c>
      <c r="D73" s="53">
        <f>SUM(D74:D76)</f>
        <v>53511330</v>
      </c>
      <c r="E73" s="53">
        <f t="shared" ref="E73:I73" si="29">SUM(E74:E76)</f>
        <v>53511330</v>
      </c>
      <c r="F73" s="53">
        <f t="shared" si="29"/>
        <v>0</v>
      </c>
      <c r="G73" s="53">
        <f t="shared" si="29"/>
        <v>52822930</v>
      </c>
      <c r="H73" s="53">
        <f t="shared" si="29"/>
        <v>52822930</v>
      </c>
      <c r="I73" s="53">
        <f t="shared" si="29"/>
        <v>0</v>
      </c>
      <c r="J73" s="59">
        <f t="shared" ref="J73:J99" si="30">G73/D73</f>
        <v>0.98713543468271114</v>
      </c>
    </row>
    <row r="74" spans="1:10" s="62" customFormat="1" ht="76.5">
      <c r="A74" s="493"/>
      <c r="B74" s="488"/>
      <c r="C74" s="57" t="s">
        <v>445</v>
      </c>
      <c r="D74" s="54">
        <f>SUM(E74:F74)</f>
        <v>53511000</v>
      </c>
      <c r="E74" s="54">
        <v>53511000</v>
      </c>
      <c r="F74" s="54">
        <v>0</v>
      </c>
      <c r="G74" s="54">
        <f>SUM(H74:I74)</f>
        <v>52821801</v>
      </c>
      <c r="H74" s="54">
        <v>52821801</v>
      </c>
      <c r="I74" s="54">
        <v>0</v>
      </c>
      <c r="J74" s="63">
        <f t="shared" si="30"/>
        <v>0.9871204238380894</v>
      </c>
    </row>
    <row r="75" spans="1:10" s="64" customFormat="1" ht="25.5">
      <c r="A75" s="500"/>
      <c r="B75" s="503"/>
      <c r="C75" s="57" t="s">
        <v>380</v>
      </c>
      <c r="D75" s="54">
        <f>SUM(E75:F75)</f>
        <v>288</v>
      </c>
      <c r="E75" s="54">
        <v>288</v>
      </c>
      <c r="F75" s="54">
        <v>0</v>
      </c>
      <c r="G75" s="54">
        <f>SUM(H75:I75)</f>
        <v>288</v>
      </c>
      <c r="H75" s="54">
        <v>288</v>
      </c>
      <c r="I75" s="54">
        <v>0</v>
      </c>
      <c r="J75" s="63">
        <f t="shared" ref="J75:J76" si="31">G75/D75</f>
        <v>1</v>
      </c>
    </row>
    <row r="76" spans="1:10" s="64" customFormat="1" ht="25.5">
      <c r="A76" s="500"/>
      <c r="B76" s="504"/>
      <c r="C76" s="57" t="s">
        <v>446</v>
      </c>
      <c r="D76" s="54">
        <f>SUM(E76:F76)</f>
        <v>42</v>
      </c>
      <c r="E76" s="54">
        <v>42</v>
      </c>
      <c r="F76" s="54">
        <v>0</v>
      </c>
      <c r="G76" s="54">
        <f>SUM(H76:I76)</f>
        <v>841</v>
      </c>
      <c r="H76" s="54">
        <v>841</v>
      </c>
      <c r="I76" s="54">
        <v>0</v>
      </c>
      <c r="J76" s="63">
        <f t="shared" si="31"/>
        <v>20.023809523809526</v>
      </c>
    </row>
    <row r="77" spans="1:10" s="62" customFormat="1" ht="15">
      <c r="A77" s="493"/>
      <c r="B77" s="296" t="s">
        <v>105</v>
      </c>
      <c r="C77" s="52" t="s">
        <v>106</v>
      </c>
      <c r="D77" s="53">
        <f>SUM(D78:D80)</f>
        <v>100000</v>
      </c>
      <c r="E77" s="53">
        <f t="shared" ref="E77:I77" si="32">SUM(E78:E80)</f>
        <v>100000</v>
      </c>
      <c r="F77" s="53">
        <f t="shared" si="32"/>
        <v>0</v>
      </c>
      <c r="G77" s="53">
        <f t="shared" si="32"/>
        <v>120607</v>
      </c>
      <c r="H77" s="53">
        <f t="shared" si="32"/>
        <v>120607</v>
      </c>
      <c r="I77" s="53">
        <f t="shared" si="32"/>
        <v>0</v>
      </c>
      <c r="J77" s="59">
        <f t="shared" si="30"/>
        <v>1.20607</v>
      </c>
    </row>
    <row r="78" spans="1:10" s="64" customFormat="1" ht="25.5">
      <c r="A78" s="493"/>
      <c r="B78" s="505"/>
      <c r="C78" s="57" t="s">
        <v>107</v>
      </c>
      <c r="D78" s="54">
        <f>SUM(E78:F78)</f>
        <v>100000</v>
      </c>
      <c r="E78" s="54">
        <v>100000</v>
      </c>
      <c r="F78" s="54">
        <v>0</v>
      </c>
      <c r="G78" s="54">
        <f>SUM(H78:I78)</f>
        <v>117910</v>
      </c>
      <c r="H78" s="54">
        <v>117910</v>
      </c>
      <c r="I78" s="54">
        <v>0</v>
      </c>
      <c r="J78" s="63">
        <f t="shared" si="30"/>
        <v>1.1791</v>
      </c>
    </row>
    <row r="79" spans="1:10" s="64" customFormat="1" ht="38.25">
      <c r="A79" s="493"/>
      <c r="B79" s="506"/>
      <c r="C79" s="40" t="s">
        <v>108</v>
      </c>
      <c r="D79" s="54">
        <f>SUM(E79:F79)</f>
        <v>0</v>
      </c>
      <c r="E79" s="54">
        <v>0</v>
      </c>
      <c r="F79" s="54">
        <v>0</v>
      </c>
      <c r="G79" s="54">
        <f>SUM(H79:I79)</f>
        <v>2657</v>
      </c>
      <c r="H79" s="54">
        <v>2657</v>
      </c>
      <c r="I79" s="54">
        <v>0</v>
      </c>
      <c r="J79" s="63"/>
    </row>
    <row r="80" spans="1:10" s="68" customFormat="1" ht="38.25">
      <c r="A80" s="500"/>
      <c r="B80" s="507"/>
      <c r="C80" s="36" t="s">
        <v>54</v>
      </c>
      <c r="D80" s="54">
        <f>SUM(E80:F80)</f>
        <v>0</v>
      </c>
      <c r="E80" s="54">
        <v>0</v>
      </c>
      <c r="F80" s="54">
        <v>0</v>
      </c>
      <c r="G80" s="54">
        <f>SUM(H80:I80)</f>
        <v>40</v>
      </c>
      <c r="H80" s="54">
        <v>40</v>
      </c>
      <c r="I80" s="54">
        <v>0</v>
      </c>
      <c r="J80" s="63"/>
    </row>
    <row r="81" spans="1:10" s="34" customFormat="1" ht="15">
      <c r="A81" s="493"/>
      <c r="B81" s="24" t="s">
        <v>109</v>
      </c>
      <c r="C81" s="33" t="s">
        <v>110</v>
      </c>
      <c r="D81" s="26">
        <f t="shared" ref="D81:I81" si="33">SUM(D82:D84)</f>
        <v>37264879</v>
      </c>
      <c r="E81" s="26">
        <f t="shared" si="33"/>
        <v>2078930</v>
      </c>
      <c r="F81" s="26">
        <f t="shared" si="33"/>
        <v>35185949</v>
      </c>
      <c r="G81" s="26">
        <f t="shared" si="33"/>
        <v>38426161</v>
      </c>
      <c r="H81" s="26">
        <f t="shared" si="33"/>
        <v>2543092</v>
      </c>
      <c r="I81" s="26">
        <f t="shared" si="33"/>
        <v>35883069</v>
      </c>
      <c r="J81" s="27">
        <f t="shared" si="30"/>
        <v>1.031162908109805</v>
      </c>
    </row>
    <row r="82" spans="1:10" s="37" customFormat="1" ht="25.5">
      <c r="A82" s="493"/>
      <c r="B82" s="496"/>
      <c r="C82" s="47" t="s">
        <v>111</v>
      </c>
      <c r="D82" s="31">
        <f>SUM(E82:F82)</f>
        <v>2011305</v>
      </c>
      <c r="E82" s="31">
        <f>102423+214380+776431+10000+710696</f>
        <v>1813930</v>
      </c>
      <c r="F82" s="31">
        <v>197375</v>
      </c>
      <c r="G82" s="31">
        <f>SUM(H82:I82)</f>
        <v>2499681</v>
      </c>
      <c r="H82" s="31">
        <f>117208+214380+796985+14019+38502+11057+1085941</f>
        <v>2278092</v>
      </c>
      <c r="I82" s="31">
        <v>221589</v>
      </c>
      <c r="J82" s="32">
        <f t="shared" si="30"/>
        <v>1.2428154854683899</v>
      </c>
    </row>
    <row r="83" spans="1:10" s="37" customFormat="1" ht="38.25">
      <c r="A83" s="493"/>
      <c r="B83" s="496"/>
      <c r="C83" s="47" t="s">
        <v>112</v>
      </c>
      <c r="D83" s="54">
        <f>SUM(E83:F83)</f>
        <v>26394533</v>
      </c>
      <c r="E83" s="54">
        <v>0</v>
      </c>
      <c r="F83" s="54">
        <v>26394533</v>
      </c>
      <c r="G83" s="54">
        <f>SUM(H83:I83)</f>
        <v>27248008</v>
      </c>
      <c r="H83" s="54">
        <v>0</v>
      </c>
      <c r="I83" s="54">
        <v>27248008</v>
      </c>
      <c r="J83" s="32">
        <f t="shared" si="30"/>
        <v>1.0323352945854356</v>
      </c>
    </row>
    <row r="84" spans="1:10" s="67" customFormat="1" ht="38.25">
      <c r="A84" s="493"/>
      <c r="B84" s="496"/>
      <c r="C84" s="43" t="s">
        <v>113</v>
      </c>
      <c r="D84" s="31">
        <f>SUM(E84:F84)</f>
        <v>8859041</v>
      </c>
      <c r="E84" s="31">
        <v>265000</v>
      </c>
      <c r="F84" s="31">
        <v>8594041</v>
      </c>
      <c r="G84" s="31">
        <f>SUM(H84:I84)</f>
        <v>8678472</v>
      </c>
      <c r="H84" s="31">
        <v>265000</v>
      </c>
      <c r="I84" s="31">
        <v>8413472</v>
      </c>
      <c r="J84" s="32">
        <f t="shared" si="30"/>
        <v>0.97961754551085156</v>
      </c>
    </row>
    <row r="85" spans="1:10" s="34" customFormat="1" ht="15">
      <c r="A85" s="493"/>
      <c r="B85" s="24" t="s">
        <v>114</v>
      </c>
      <c r="C85" s="33" t="s">
        <v>115</v>
      </c>
      <c r="D85" s="26">
        <f>SUM(D86,D87)</f>
        <v>1687</v>
      </c>
      <c r="E85" s="26">
        <f t="shared" ref="E85:I85" si="34">SUM(E86,E87)</f>
        <v>336</v>
      </c>
      <c r="F85" s="26">
        <f t="shared" si="34"/>
        <v>1351</v>
      </c>
      <c r="G85" s="26">
        <f>SUM(G86,G87)</f>
        <v>1685</v>
      </c>
      <c r="H85" s="26">
        <f>SUM(H86,H87)</f>
        <v>335</v>
      </c>
      <c r="I85" s="26">
        <f t="shared" si="34"/>
        <v>1350</v>
      </c>
      <c r="J85" s="27">
        <f t="shared" si="30"/>
        <v>0.99881446354475401</v>
      </c>
    </row>
    <row r="86" spans="1:10" s="23" customFormat="1" ht="51">
      <c r="A86" s="493"/>
      <c r="B86" s="502"/>
      <c r="C86" s="48" t="s">
        <v>87</v>
      </c>
      <c r="D86" s="31">
        <f>SUM(E86:F86)</f>
        <v>1351</v>
      </c>
      <c r="E86" s="31">
        <v>0</v>
      </c>
      <c r="F86" s="31">
        <v>1351</v>
      </c>
      <c r="G86" s="31">
        <f>SUM(H86:I86)</f>
        <v>1350</v>
      </c>
      <c r="H86" s="31">
        <v>0</v>
      </c>
      <c r="I86" s="31">
        <v>1350</v>
      </c>
      <c r="J86" s="32">
        <f t="shared" si="30"/>
        <v>0.99925980754996302</v>
      </c>
    </row>
    <row r="87" spans="1:10" s="37" customFormat="1" ht="63.75">
      <c r="A87" s="493"/>
      <c r="B87" s="502"/>
      <c r="C87" s="48" t="s">
        <v>447</v>
      </c>
      <c r="D87" s="31">
        <f>SUM(E87:F87)</f>
        <v>336</v>
      </c>
      <c r="E87" s="31">
        <v>336</v>
      </c>
      <c r="F87" s="31">
        <v>0</v>
      </c>
      <c r="G87" s="31">
        <f>SUM(H87:I87)</f>
        <v>335</v>
      </c>
      <c r="H87" s="31">
        <v>335</v>
      </c>
      <c r="I87" s="31">
        <v>0</v>
      </c>
      <c r="J87" s="32">
        <f t="shared" si="30"/>
        <v>0.99702380952380953</v>
      </c>
    </row>
    <row r="88" spans="1:10" s="62" customFormat="1" ht="14.25" customHeight="1">
      <c r="A88" s="493"/>
      <c r="B88" s="51" t="s">
        <v>116</v>
      </c>
      <c r="C88" s="52" t="s">
        <v>19</v>
      </c>
      <c r="D88" s="53">
        <f>SUM(D89:D90)</f>
        <v>2594251</v>
      </c>
      <c r="E88" s="53">
        <f t="shared" ref="E88:I88" si="35">SUM(E89:E90)</f>
        <v>2594251</v>
      </c>
      <c r="F88" s="53">
        <f t="shared" si="35"/>
        <v>0</v>
      </c>
      <c r="G88" s="53">
        <f t="shared" si="35"/>
        <v>2594251</v>
      </c>
      <c r="H88" s="53">
        <f t="shared" si="35"/>
        <v>2594251</v>
      </c>
      <c r="I88" s="53">
        <f t="shared" si="35"/>
        <v>0</v>
      </c>
      <c r="J88" s="59">
        <f t="shared" si="30"/>
        <v>1</v>
      </c>
    </row>
    <row r="89" spans="1:10" s="68" customFormat="1" ht="38.25">
      <c r="A89" s="493"/>
      <c r="B89" s="488"/>
      <c r="C89" s="57" t="s">
        <v>72</v>
      </c>
      <c r="D89" s="54">
        <f>SUM(E89:F89)</f>
        <v>1094251</v>
      </c>
      <c r="E89" s="54">
        <v>1094251</v>
      </c>
      <c r="F89" s="54">
        <v>0</v>
      </c>
      <c r="G89" s="54">
        <f>SUM(H89:I89)</f>
        <v>1094251</v>
      </c>
      <c r="H89" s="54">
        <v>1094251</v>
      </c>
      <c r="I89" s="54">
        <v>0</v>
      </c>
      <c r="J89" s="63">
        <f t="shared" si="30"/>
        <v>1</v>
      </c>
    </row>
    <row r="90" spans="1:10" s="64" customFormat="1" ht="25.5">
      <c r="A90" s="493"/>
      <c r="B90" s="489"/>
      <c r="C90" s="57" t="s">
        <v>117</v>
      </c>
      <c r="D90" s="54">
        <f>SUM(E90:F90)</f>
        <v>1500000</v>
      </c>
      <c r="E90" s="54">
        <v>1500000</v>
      </c>
      <c r="F90" s="54">
        <v>0</v>
      </c>
      <c r="G90" s="54">
        <f>SUM(H90:I90)</f>
        <v>1500000</v>
      </c>
      <c r="H90" s="54">
        <v>1500000</v>
      </c>
      <c r="I90" s="54">
        <v>0</v>
      </c>
      <c r="J90" s="63">
        <f t="shared" si="30"/>
        <v>1</v>
      </c>
    </row>
    <row r="91" spans="1:10" s="62" customFormat="1" ht="14.25" customHeight="1">
      <c r="A91" s="493"/>
      <c r="B91" s="51" t="s">
        <v>118</v>
      </c>
      <c r="C91" s="52" t="s">
        <v>22</v>
      </c>
      <c r="D91" s="53">
        <f t="shared" ref="D91:I91" si="36">SUM(D92:D92)</f>
        <v>0</v>
      </c>
      <c r="E91" s="53">
        <f t="shared" si="36"/>
        <v>0</v>
      </c>
      <c r="F91" s="53">
        <f t="shared" si="36"/>
        <v>0</v>
      </c>
      <c r="G91" s="53">
        <f t="shared" si="36"/>
        <v>1550</v>
      </c>
      <c r="H91" s="53">
        <f t="shared" si="36"/>
        <v>1550</v>
      </c>
      <c r="I91" s="53">
        <f t="shared" si="36"/>
        <v>0</v>
      </c>
      <c r="J91" s="63"/>
    </row>
    <row r="92" spans="1:10" s="68" customFormat="1" ht="38.25">
      <c r="A92" s="493"/>
      <c r="B92" s="69"/>
      <c r="C92" s="36" t="s">
        <v>54</v>
      </c>
      <c r="D92" s="54">
        <f>SUM(E92:F92)</f>
        <v>0</v>
      </c>
      <c r="E92" s="54">
        <v>0</v>
      </c>
      <c r="F92" s="54">
        <v>0</v>
      </c>
      <c r="G92" s="54">
        <f>SUM(H92:I92)</f>
        <v>1550</v>
      </c>
      <c r="H92" s="54">
        <v>1550</v>
      </c>
      <c r="I92" s="54">
        <v>0</v>
      </c>
      <c r="J92" s="63"/>
    </row>
    <row r="93" spans="1:10" s="23" customFormat="1" ht="15.75">
      <c r="A93" s="19" t="s">
        <v>119</v>
      </c>
      <c r="B93" s="19"/>
      <c r="C93" s="50" t="s">
        <v>120</v>
      </c>
      <c r="D93" s="21">
        <f>SUM(D94)</f>
        <v>100000</v>
      </c>
      <c r="E93" s="21">
        <f t="shared" ref="E93:I93" si="37">SUM(E94)</f>
        <v>0</v>
      </c>
      <c r="F93" s="21">
        <f t="shared" si="37"/>
        <v>100000</v>
      </c>
      <c r="G93" s="21">
        <f t="shared" si="37"/>
        <v>100000</v>
      </c>
      <c r="H93" s="21">
        <f t="shared" si="37"/>
        <v>0</v>
      </c>
      <c r="I93" s="21">
        <f t="shared" si="37"/>
        <v>100000</v>
      </c>
      <c r="J93" s="22">
        <f t="shared" ref="J93:J95" si="38">G93/D93</f>
        <v>1</v>
      </c>
    </row>
    <row r="94" spans="1:10" s="34" customFormat="1" ht="15">
      <c r="A94" s="497"/>
      <c r="B94" s="24" t="s">
        <v>121</v>
      </c>
      <c r="C94" s="33" t="s">
        <v>22</v>
      </c>
      <c r="D94" s="26">
        <f t="shared" ref="D94:I94" si="39">SUM(D95:D95)</f>
        <v>100000</v>
      </c>
      <c r="E94" s="26">
        <f t="shared" si="39"/>
        <v>0</v>
      </c>
      <c r="F94" s="26">
        <f t="shared" si="39"/>
        <v>100000</v>
      </c>
      <c r="G94" s="26">
        <f t="shared" si="39"/>
        <v>100000</v>
      </c>
      <c r="H94" s="26">
        <f t="shared" si="39"/>
        <v>0</v>
      </c>
      <c r="I94" s="26">
        <f t="shared" si="39"/>
        <v>100000</v>
      </c>
      <c r="J94" s="27">
        <f t="shared" si="38"/>
        <v>1</v>
      </c>
    </row>
    <row r="95" spans="1:10" s="37" customFormat="1" ht="38.25">
      <c r="A95" s="497"/>
      <c r="B95" s="322"/>
      <c r="C95" s="70" t="s">
        <v>122</v>
      </c>
      <c r="D95" s="41">
        <f t="shared" ref="D95" si="40">SUM(E95:F95)</f>
        <v>100000</v>
      </c>
      <c r="E95" s="41">
        <v>0</v>
      </c>
      <c r="F95" s="41">
        <v>100000</v>
      </c>
      <c r="G95" s="41">
        <f t="shared" ref="G95" si="41">SUM(H95:I95)</f>
        <v>100000</v>
      </c>
      <c r="H95" s="41">
        <v>0</v>
      </c>
      <c r="I95" s="41">
        <v>100000</v>
      </c>
      <c r="J95" s="45">
        <f t="shared" si="38"/>
        <v>1</v>
      </c>
    </row>
    <row r="96" spans="1:10" s="23" customFormat="1" ht="15.75">
      <c r="A96" s="19" t="s">
        <v>123</v>
      </c>
      <c r="B96" s="19"/>
      <c r="C96" s="50" t="s">
        <v>124</v>
      </c>
      <c r="D96" s="21">
        <f t="shared" ref="D96:H96" si="42">SUM(D97)</f>
        <v>6152088</v>
      </c>
      <c r="E96" s="21">
        <f t="shared" si="42"/>
        <v>635676</v>
      </c>
      <c r="F96" s="21">
        <f t="shared" si="42"/>
        <v>5516412</v>
      </c>
      <c r="G96" s="21">
        <f t="shared" si="42"/>
        <v>2543319</v>
      </c>
      <c r="H96" s="21">
        <f t="shared" si="42"/>
        <v>659453</v>
      </c>
      <c r="I96" s="21">
        <f>SUM(I97)</f>
        <v>1883866</v>
      </c>
      <c r="J96" s="22">
        <f t="shared" si="30"/>
        <v>0.41340744800789586</v>
      </c>
    </row>
    <row r="97" spans="1:10" s="34" customFormat="1" ht="15">
      <c r="A97" s="483"/>
      <c r="B97" s="24" t="s">
        <v>125</v>
      </c>
      <c r="C97" s="33" t="s">
        <v>126</v>
      </c>
      <c r="D97" s="26">
        <f t="shared" ref="D97:I97" si="43">SUM(D98:D110)</f>
        <v>6152088</v>
      </c>
      <c r="E97" s="26">
        <f t="shared" si="43"/>
        <v>635676</v>
      </c>
      <c r="F97" s="26">
        <f t="shared" si="43"/>
        <v>5516412</v>
      </c>
      <c r="G97" s="26">
        <f t="shared" si="43"/>
        <v>2543319</v>
      </c>
      <c r="H97" s="26">
        <f t="shared" si="43"/>
        <v>659453</v>
      </c>
      <c r="I97" s="26">
        <f t="shared" si="43"/>
        <v>1883866</v>
      </c>
      <c r="J97" s="27">
        <f t="shared" si="30"/>
        <v>0.41340744800789586</v>
      </c>
    </row>
    <row r="98" spans="1:10" s="37" customFormat="1" ht="12.75">
      <c r="A98" s="484"/>
      <c r="B98" s="498"/>
      <c r="C98" s="40" t="s">
        <v>127</v>
      </c>
      <c r="D98" s="41">
        <f t="shared" ref="D98:D109" si="44">SUM(E98:F98)</f>
        <v>270988</v>
      </c>
      <c r="E98" s="41">
        <v>270988</v>
      </c>
      <c r="F98" s="41">
        <v>0</v>
      </c>
      <c r="G98" s="41">
        <f t="shared" ref="G98:G109" si="45">SUM(H98:I98)</f>
        <v>271539</v>
      </c>
      <c r="H98" s="41">
        <v>271539</v>
      </c>
      <c r="I98" s="41">
        <v>0</v>
      </c>
      <c r="J98" s="45">
        <f t="shared" si="30"/>
        <v>1.0020333003675439</v>
      </c>
    </row>
    <row r="99" spans="1:10" s="37" customFormat="1" ht="12.75">
      <c r="A99" s="484"/>
      <c r="B99" s="499"/>
      <c r="C99" s="44" t="s">
        <v>128</v>
      </c>
      <c r="D99" s="41">
        <f t="shared" si="44"/>
        <v>13200</v>
      </c>
      <c r="E99" s="41">
        <v>13200</v>
      </c>
      <c r="F99" s="41">
        <v>0</v>
      </c>
      <c r="G99" s="41">
        <f t="shared" si="45"/>
        <v>16272</v>
      </c>
      <c r="H99" s="41">
        <v>16272</v>
      </c>
      <c r="I99" s="41">
        <v>0</v>
      </c>
      <c r="J99" s="45">
        <f t="shared" si="30"/>
        <v>1.2327272727272727</v>
      </c>
    </row>
    <row r="100" spans="1:10" s="37" customFormat="1" ht="25.5">
      <c r="A100" s="484"/>
      <c r="B100" s="499"/>
      <c r="C100" s="44" t="s">
        <v>129</v>
      </c>
      <c r="D100" s="41">
        <f t="shared" si="44"/>
        <v>0</v>
      </c>
      <c r="E100" s="41">
        <v>0</v>
      </c>
      <c r="F100" s="41">
        <v>0</v>
      </c>
      <c r="G100" s="41">
        <f t="shared" si="45"/>
        <v>1980</v>
      </c>
      <c r="H100" s="41">
        <v>0</v>
      </c>
      <c r="I100" s="41">
        <v>1980</v>
      </c>
      <c r="J100" s="45"/>
    </row>
    <row r="101" spans="1:10" s="37" customFormat="1" ht="12.75">
      <c r="A101" s="484"/>
      <c r="B101" s="499"/>
      <c r="C101" s="40" t="s">
        <v>130</v>
      </c>
      <c r="D101" s="41">
        <f t="shared" si="44"/>
        <v>5516412</v>
      </c>
      <c r="E101" s="41"/>
      <c r="F101" s="41">
        <v>5516412</v>
      </c>
      <c r="G101" s="41">
        <f t="shared" si="45"/>
        <v>1868859</v>
      </c>
      <c r="H101" s="41"/>
      <c r="I101" s="41">
        <v>1868859</v>
      </c>
      <c r="J101" s="45">
        <f>G101/D101</f>
        <v>0.33878162109719145</v>
      </c>
    </row>
    <row r="102" spans="1:10" s="37" customFormat="1" ht="12.75">
      <c r="A102" s="484"/>
      <c r="B102" s="499"/>
      <c r="C102" s="49" t="s">
        <v>131</v>
      </c>
      <c r="D102" s="41">
        <f t="shared" si="44"/>
        <v>0</v>
      </c>
      <c r="E102" s="41">
        <v>0</v>
      </c>
      <c r="F102" s="41">
        <v>0</v>
      </c>
      <c r="G102" s="41">
        <f t="shared" si="45"/>
        <v>289</v>
      </c>
      <c r="H102" s="41">
        <v>289</v>
      </c>
      <c r="I102" s="41">
        <v>0</v>
      </c>
      <c r="J102" s="45"/>
    </row>
    <row r="103" spans="1:10" s="37" customFormat="1" ht="38.25">
      <c r="A103" s="484"/>
      <c r="B103" s="499"/>
      <c r="C103" s="49" t="s">
        <v>402</v>
      </c>
      <c r="D103" s="41">
        <f t="shared" ref="D103" si="46">SUM(E103:F103)</f>
        <v>0</v>
      </c>
      <c r="E103" s="41">
        <v>0</v>
      </c>
      <c r="F103" s="41">
        <v>0</v>
      </c>
      <c r="G103" s="41">
        <f t="shared" ref="G103" si="47">SUM(H103:I103)</f>
        <v>19</v>
      </c>
      <c r="H103" s="41">
        <v>19</v>
      </c>
      <c r="I103" s="41">
        <v>0</v>
      </c>
      <c r="J103" s="45"/>
    </row>
    <row r="104" spans="1:10" s="37" customFormat="1" ht="38.25">
      <c r="A104" s="484"/>
      <c r="B104" s="499"/>
      <c r="C104" s="49" t="s">
        <v>132</v>
      </c>
      <c r="D104" s="41">
        <f t="shared" si="44"/>
        <v>0</v>
      </c>
      <c r="E104" s="41">
        <v>0</v>
      </c>
      <c r="F104" s="41">
        <v>0</v>
      </c>
      <c r="G104" s="41">
        <f t="shared" si="45"/>
        <v>5001</v>
      </c>
      <c r="H104" s="41">
        <v>5001</v>
      </c>
      <c r="I104" s="41">
        <v>0</v>
      </c>
      <c r="J104" s="45"/>
    </row>
    <row r="105" spans="1:10" s="37" customFormat="1" ht="38.25">
      <c r="A105" s="484"/>
      <c r="B105" s="499"/>
      <c r="C105" s="49" t="s">
        <v>133</v>
      </c>
      <c r="D105" s="41">
        <f t="shared" si="44"/>
        <v>3094</v>
      </c>
      <c r="E105" s="41">
        <v>3094</v>
      </c>
      <c r="F105" s="41">
        <v>0</v>
      </c>
      <c r="G105" s="41">
        <f t="shared" si="45"/>
        <v>3094</v>
      </c>
      <c r="H105" s="41">
        <v>3094</v>
      </c>
      <c r="I105" s="41">
        <v>0</v>
      </c>
      <c r="J105" s="45">
        <f t="shared" ref="J105:J109" si="48">G105/D105</f>
        <v>1</v>
      </c>
    </row>
    <row r="106" spans="1:10" s="37" customFormat="1" ht="38.25">
      <c r="A106" s="484"/>
      <c r="B106" s="499"/>
      <c r="C106" s="49" t="s">
        <v>387</v>
      </c>
      <c r="D106" s="41">
        <f t="shared" ref="D106" si="49">SUM(E106:F106)</f>
        <v>0</v>
      </c>
      <c r="E106" s="41">
        <v>0</v>
      </c>
      <c r="F106" s="41">
        <v>0</v>
      </c>
      <c r="G106" s="41">
        <f t="shared" ref="G106" si="50">SUM(H106:I106)</f>
        <v>8138</v>
      </c>
      <c r="H106" s="41">
        <v>0</v>
      </c>
      <c r="I106" s="41">
        <v>8138</v>
      </c>
      <c r="J106" s="45"/>
    </row>
    <row r="107" spans="1:10" s="37" customFormat="1" ht="12.75">
      <c r="A107" s="484"/>
      <c r="B107" s="499"/>
      <c r="C107" s="49" t="s">
        <v>134</v>
      </c>
      <c r="D107" s="41">
        <f t="shared" si="44"/>
        <v>46358</v>
      </c>
      <c r="E107" s="41">
        <v>46358</v>
      </c>
      <c r="F107" s="41">
        <v>0</v>
      </c>
      <c r="G107" s="41">
        <f t="shared" si="45"/>
        <v>88360</v>
      </c>
      <c r="H107" s="41">
        <v>88360</v>
      </c>
      <c r="I107" s="41">
        <v>0</v>
      </c>
      <c r="J107" s="45">
        <f t="shared" si="48"/>
        <v>1.9060356357047328</v>
      </c>
    </row>
    <row r="108" spans="1:10" s="37" customFormat="1" ht="38.25">
      <c r="A108" s="484"/>
      <c r="B108" s="499"/>
      <c r="C108" s="49" t="s">
        <v>142</v>
      </c>
      <c r="D108" s="41">
        <f t="shared" ref="D108" si="51">SUM(E108:F108)</f>
        <v>300000</v>
      </c>
      <c r="E108" s="41">
        <v>300000</v>
      </c>
      <c r="F108" s="41">
        <v>0</v>
      </c>
      <c r="G108" s="41">
        <f t="shared" ref="G108" si="52">SUM(H108:I108)</f>
        <v>270655</v>
      </c>
      <c r="H108" s="41">
        <v>270655</v>
      </c>
      <c r="I108" s="41">
        <v>0</v>
      </c>
      <c r="J108" s="45">
        <f t="shared" ref="J108" si="53">G108/D108</f>
        <v>0.90218333333333334</v>
      </c>
    </row>
    <row r="109" spans="1:10" s="37" customFormat="1" ht="51">
      <c r="A109" s="484"/>
      <c r="B109" s="499"/>
      <c r="C109" s="49" t="s">
        <v>135</v>
      </c>
      <c r="D109" s="41">
        <f t="shared" si="44"/>
        <v>2036</v>
      </c>
      <c r="E109" s="41">
        <v>2036</v>
      </c>
      <c r="F109" s="41">
        <v>0</v>
      </c>
      <c r="G109" s="41">
        <f t="shared" si="45"/>
        <v>4224</v>
      </c>
      <c r="H109" s="41">
        <v>4224</v>
      </c>
      <c r="I109" s="41">
        <v>0</v>
      </c>
      <c r="J109" s="45">
        <f t="shared" si="48"/>
        <v>2.074656188605108</v>
      </c>
    </row>
    <row r="110" spans="1:10" s="37" customFormat="1" ht="25.5">
      <c r="A110" s="484"/>
      <c r="B110" s="499"/>
      <c r="C110" s="49" t="s">
        <v>401</v>
      </c>
      <c r="D110" s="41">
        <f t="shared" ref="D110" si="54">SUM(E110:F110)</f>
        <v>0</v>
      </c>
      <c r="E110" s="41">
        <v>0</v>
      </c>
      <c r="F110" s="41">
        <v>0</v>
      </c>
      <c r="G110" s="41">
        <f t="shared" ref="G110" si="55">SUM(H110:I110)</f>
        <v>4889</v>
      </c>
      <c r="H110" s="41">
        <v>0</v>
      </c>
      <c r="I110" s="41">
        <v>4889</v>
      </c>
      <c r="J110" s="45"/>
    </row>
    <row r="111" spans="1:10" s="23" customFormat="1" ht="15.75">
      <c r="A111" s="19" t="s">
        <v>136</v>
      </c>
      <c r="B111" s="19"/>
      <c r="C111" s="50" t="s">
        <v>137</v>
      </c>
      <c r="D111" s="21">
        <f t="shared" ref="D111:I111" si="56">SUM(D112,D114,D116,D119,D121,D123,)</f>
        <v>1276759</v>
      </c>
      <c r="E111" s="21">
        <f t="shared" si="56"/>
        <v>976759</v>
      </c>
      <c r="F111" s="21">
        <f t="shared" si="56"/>
        <v>300000</v>
      </c>
      <c r="G111" s="21">
        <f t="shared" si="56"/>
        <v>1309176</v>
      </c>
      <c r="H111" s="21">
        <f t="shared" si="56"/>
        <v>989383</v>
      </c>
      <c r="I111" s="21">
        <f t="shared" si="56"/>
        <v>319793</v>
      </c>
      <c r="J111" s="22">
        <f t="shared" ref="J111:J154" si="57">G111/D111</f>
        <v>1.0253900696999199</v>
      </c>
    </row>
    <row r="112" spans="1:10" s="34" customFormat="1" ht="15">
      <c r="A112" s="495"/>
      <c r="B112" s="24" t="s">
        <v>138</v>
      </c>
      <c r="C112" s="33" t="s">
        <v>139</v>
      </c>
      <c r="D112" s="26">
        <f t="shared" ref="D112:I112" si="58">SUM(D113)</f>
        <v>30000</v>
      </c>
      <c r="E112" s="26">
        <f t="shared" si="58"/>
        <v>30000</v>
      </c>
      <c r="F112" s="26">
        <f t="shared" si="58"/>
        <v>0</v>
      </c>
      <c r="G112" s="26">
        <f t="shared" si="58"/>
        <v>43298</v>
      </c>
      <c r="H112" s="26">
        <f t="shared" si="58"/>
        <v>43298</v>
      </c>
      <c r="I112" s="26">
        <f t="shared" si="58"/>
        <v>0</v>
      </c>
      <c r="J112" s="27">
        <f t="shared" si="57"/>
        <v>1.4432666666666667</v>
      </c>
    </row>
    <row r="113" spans="1:10" s="37" customFormat="1" ht="25.5">
      <c r="A113" s="495"/>
      <c r="B113" s="35"/>
      <c r="C113" s="49" t="s">
        <v>140</v>
      </c>
      <c r="D113" s="31">
        <f>SUM(E113:F113)</f>
        <v>30000</v>
      </c>
      <c r="E113" s="31">
        <f>6300+23700</f>
        <v>30000</v>
      </c>
      <c r="F113" s="31">
        <v>0</v>
      </c>
      <c r="G113" s="31">
        <f>SUM(H113:I113)</f>
        <v>43298</v>
      </c>
      <c r="H113" s="31">
        <f>6930+33038+3330</f>
        <v>43298</v>
      </c>
      <c r="I113" s="31">
        <v>0</v>
      </c>
      <c r="J113" s="32">
        <f t="shared" si="57"/>
        <v>1.4432666666666667</v>
      </c>
    </row>
    <row r="114" spans="1:10" s="34" customFormat="1" ht="15">
      <c r="A114" s="495"/>
      <c r="B114" s="24" t="s">
        <v>141</v>
      </c>
      <c r="C114" s="33" t="s">
        <v>37</v>
      </c>
      <c r="D114" s="26">
        <f t="shared" ref="D114:I114" si="59">SUM(D115)</f>
        <v>7000</v>
      </c>
      <c r="E114" s="26">
        <f t="shared" si="59"/>
        <v>7000</v>
      </c>
      <c r="F114" s="26">
        <f t="shared" si="59"/>
        <v>0</v>
      </c>
      <c r="G114" s="26">
        <f t="shared" si="59"/>
        <v>6150</v>
      </c>
      <c r="H114" s="26">
        <f t="shared" si="59"/>
        <v>6150</v>
      </c>
      <c r="I114" s="26">
        <f t="shared" si="59"/>
        <v>0</v>
      </c>
      <c r="J114" s="32">
        <f t="shared" si="57"/>
        <v>0.87857142857142856</v>
      </c>
    </row>
    <row r="115" spans="1:10" s="37" customFormat="1" ht="38.25">
      <c r="A115" s="495"/>
      <c r="B115" s="35"/>
      <c r="C115" s="36" t="s">
        <v>142</v>
      </c>
      <c r="D115" s="31">
        <f>SUM(E115:F115)</f>
        <v>7000</v>
      </c>
      <c r="E115" s="31">
        <v>7000</v>
      </c>
      <c r="F115" s="31">
        <v>0</v>
      </c>
      <c r="G115" s="31">
        <f>SUM(H115:I115)</f>
        <v>6150</v>
      </c>
      <c r="H115" s="31">
        <v>6150</v>
      </c>
      <c r="I115" s="31">
        <v>0</v>
      </c>
      <c r="J115" s="32">
        <f t="shared" si="57"/>
        <v>0.87857142857142856</v>
      </c>
    </row>
    <row r="116" spans="1:10" s="34" customFormat="1" ht="15">
      <c r="A116" s="495"/>
      <c r="B116" s="24" t="s">
        <v>143</v>
      </c>
      <c r="C116" s="33" t="s">
        <v>21</v>
      </c>
      <c r="D116" s="26">
        <f t="shared" ref="D116:I116" si="60">SUM(D117:D118)</f>
        <v>321000</v>
      </c>
      <c r="E116" s="26">
        <f t="shared" si="60"/>
        <v>321000</v>
      </c>
      <c r="F116" s="26">
        <f t="shared" si="60"/>
        <v>0</v>
      </c>
      <c r="G116" s="26">
        <f t="shared" si="60"/>
        <v>340971</v>
      </c>
      <c r="H116" s="26">
        <f t="shared" si="60"/>
        <v>321177</v>
      </c>
      <c r="I116" s="26">
        <f t="shared" si="60"/>
        <v>19794</v>
      </c>
      <c r="J116" s="27">
        <f t="shared" si="57"/>
        <v>1.0622149532710281</v>
      </c>
    </row>
    <row r="117" spans="1:10" s="37" customFormat="1" ht="38.25">
      <c r="A117" s="495"/>
      <c r="B117" s="496"/>
      <c r="C117" s="36" t="s">
        <v>142</v>
      </c>
      <c r="D117" s="31">
        <f>SUM(E117:F117)</f>
        <v>251000</v>
      </c>
      <c r="E117" s="31">
        <v>251000</v>
      </c>
      <c r="F117" s="31">
        <v>0</v>
      </c>
      <c r="G117" s="31">
        <f>SUM(H117:I117)</f>
        <v>251000</v>
      </c>
      <c r="H117" s="31">
        <v>251000</v>
      </c>
      <c r="I117" s="31">
        <v>0</v>
      </c>
      <c r="J117" s="32">
        <f t="shared" si="57"/>
        <v>1</v>
      </c>
    </row>
    <row r="118" spans="1:10" s="37" customFormat="1" ht="25.5">
      <c r="A118" s="495"/>
      <c r="B118" s="496"/>
      <c r="C118" s="71" t="s">
        <v>144</v>
      </c>
      <c r="D118" s="31">
        <f>SUM(E118:F118)</f>
        <v>70000</v>
      </c>
      <c r="E118" s="31">
        <f>10000+30000+30000</f>
        <v>70000</v>
      </c>
      <c r="F118" s="31">
        <v>0</v>
      </c>
      <c r="G118" s="31">
        <f>SUM(H118:I118)</f>
        <v>89971</v>
      </c>
      <c r="H118" s="31">
        <f>1281+46596+5366+16934</f>
        <v>70177</v>
      </c>
      <c r="I118" s="31">
        <v>19794</v>
      </c>
      <c r="J118" s="32">
        <f t="shared" si="57"/>
        <v>1.2853000000000001</v>
      </c>
    </row>
    <row r="119" spans="1:10" s="58" customFormat="1">
      <c r="A119" s="495"/>
      <c r="B119" s="24" t="s">
        <v>145</v>
      </c>
      <c r="C119" s="33" t="s">
        <v>146</v>
      </c>
      <c r="D119" s="26">
        <f t="shared" ref="D119:I119" si="61">SUM(D120)</f>
        <v>27000</v>
      </c>
      <c r="E119" s="26">
        <f t="shared" si="61"/>
        <v>27000</v>
      </c>
      <c r="F119" s="26">
        <f t="shared" si="61"/>
        <v>0</v>
      </c>
      <c r="G119" s="26">
        <f t="shared" si="61"/>
        <v>27000</v>
      </c>
      <c r="H119" s="26">
        <f t="shared" si="61"/>
        <v>27000</v>
      </c>
      <c r="I119" s="26">
        <f t="shared" si="61"/>
        <v>0</v>
      </c>
      <c r="J119" s="27">
        <f t="shared" si="57"/>
        <v>1</v>
      </c>
    </row>
    <row r="120" spans="1:10" s="37" customFormat="1" ht="38.25">
      <c r="A120" s="495"/>
      <c r="B120" s="35"/>
      <c r="C120" s="36" t="s">
        <v>142</v>
      </c>
      <c r="D120" s="31">
        <f>SUM(E120:F120)</f>
        <v>27000</v>
      </c>
      <c r="E120" s="31">
        <v>27000</v>
      </c>
      <c r="F120" s="31">
        <v>0</v>
      </c>
      <c r="G120" s="31">
        <f>SUM(H120:I120)</f>
        <v>27000</v>
      </c>
      <c r="H120" s="31">
        <v>27000</v>
      </c>
      <c r="I120" s="31">
        <v>0</v>
      </c>
      <c r="J120" s="32">
        <f t="shared" si="57"/>
        <v>1</v>
      </c>
    </row>
    <row r="121" spans="1:10" s="64" customFormat="1" ht="12.75">
      <c r="A121" s="495"/>
      <c r="B121" s="51" t="s">
        <v>147</v>
      </c>
      <c r="C121" s="52" t="s">
        <v>19</v>
      </c>
      <c r="D121" s="53">
        <f t="shared" ref="D121:I121" si="62">SUM(D122)</f>
        <v>391759</v>
      </c>
      <c r="E121" s="53">
        <f t="shared" si="62"/>
        <v>391759</v>
      </c>
      <c r="F121" s="53">
        <f t="shared" si="62"/>
        <v>0</v>
      </c>
      <c r="G121" s="53">
        <f t="shared" si="62"/>
        <v>391758</v>
      </c>
      <c r="H121" s="53">
        <f t="shared" si="62"/>
        <v>391758</v>
      </c>
      <c r="I121" s="53">
        <f t="shared" si="62"/>
        <v>0</v>
      </c>
      <c r="J121" s="59">
        <f t="shared" si="57"/>
        <v>0.99999744741027008</v>
      </c>
    </row>
    <row r="122" spans="1:10" s="62" customFormat="1" ht="38.25">
      <c r="A122" s="495"/>
      <c r="B122" s="51"/>
      <c r="C122" s="72" t="s">
        <v>72</v>
      </c>
      <c r="D122" s="54">
        <f>SUM(E122:F122)</f>
        <v>391759</v>
      </c>
      <c r="E122" s="54">
        <v>391759</v>
      </c>
      <c r="F122" s="54">
        <v>0</v>
      </c>
      <c r="G122" s="54">
        <f>SUM(H122:I122)</f>
        <v>391758</v>
      </c>
      <c r="H122" s="54">
        <v>391758</v>
      </c>
      <c r="I122" s="54">
        <v>0</v>
      </c>
      <c r="J122" s="63">
        <f t="shared" si="57"/>
        <v>0.99999744741027008</v>
      </c>
    </row>
    <row r="123" spans="1:10" s="62" customFormat="1" ht="15">
      <c r="A123" s="495"/>
      <c r="B123" s="51" t="s">
        <v>148</v>
      </c>
      <c r="C123" s="52" t="s">
        <v>22</v>
      </c>
      <c r="D123" s="53">
        <f t="shared" ref="D123:I123" si="63">SUM(D124)</f>
        <v>500000</v>
      </c>
      <c r="E123" s="53">
        <f t="shared" si="63"/>
        <v>200000</v>
      </c>
      <c r="F123" s="53">
        <f t="shared" si="63"/>
        <v>300000</v>
      </c>
      <c r="G123" s="53">
        <f t="shared" si="63"/>
        <v>499999</v>
      </c>
      <c r="H123" s="53">
        <f t="shared" si="63"/>
        <v>200000</v>
      </c>
      <c r="I123" s="53">
        <f t="shared" si="63"/>
        <v>299999</v>
      </c>
      <c r="J123" s="59">
        <f t="shared" si="57"/>
        <v>0.99999800000000005</v>
      </c>
    </row>
    <row r="124" spans="1:10" s="62" customFormat="1" ht="38.25">
      <c r="A124" s="495"/>
      <c r="B124" s="51"/>
      <c r="C124" s="72" t="s">
        <v>142</v>
      </c>
      <c r="D124" s="54">
        <f>SUM(E124:F124)</f>
        <v>500000</v>
      </c>
      <c r="E124" s="54">
        <v>200000</v>
      </c>
      <c r="F124" s="54">
        <v>300000</v>
      </c>
      <c r="G124" s="54">
        <f>SUM(H124:I124)</f>
        <v>499999</v>
      </c>
      <c r="H124" s="54">
        <v>200000</v>
      </c>
      <c r="I124" s="54">
        <v>299999</v>
      </c>
      <c r="J124" s="63">
        <f t="shared" si="57"/>
        <v>0.99999800000000005</v>
      </c>
    </row>
    <row r="125" spans="1:10" s="23" customFormat="1" ht="15.75">
      <c r="A125" s="19" t="s">
        <v>149</v>
      </c>
      <c r="B125" s="19"/>
      <c r="C125" s="73" t="s">
        <v>150</v>
      </c>
      <c r="D125" s="21">
        <f t="shared" ref="D125:I125" si="64">SUM(D126)</f>
        <v>1805756</v>
      </c>
      <c r="E125" s="21">
        <f t="shared" si="64"/>
        <v>197384</v>
      </c>
      <c r="F125" s="21">
        <f t="shared" si="64"/>
        <v>1608372</v>
      </c>
      <c r="G125" s="21">
        <f t="shared" si="64"/>
        <v>202679</v>
      </c>
      <c r="H125" s="21">
        <f t="shared" si="64"/>
        <v>0</v>
      </c>
      <c r="I125" s="21">
        <f t="shared" si="64"/>
        <v>202679</v>
      </c>
      <c r="J125" s="22">
        <f t="shared" si="57"/>
        <v>0.11224052419042219</v>
      </c>
    </row>
    <row r="126" spans="1:10" s="34" customFormat="1" ht="15">
      <c r="A126" s="483"/>
      <c r="B126" s="24" t="s">
        <v>151</v>
      </c>
      <c r="C126" s="74" t="s">
        <v>22</v>
      </c>
      <c r="D126" s="26">
        <f>SUM(D127:D129)</f>
        <v>1805756</v>
      </c>
      <c r="E126" s="26">
        <f t="shared" ref="E126:I126" si="65">SUM(E127:E129)</f>
        <v>197384</v>
      </c>
      <c r="F126" s="26">
        <f t="shared" si="65"/>
        <v>1608372</v>
      </c>
      <c r="G126" s="26">
        <f t="shared" si="65"/>
        <v>202679</v>
      </c>
      <c r="H126" s="26">
        <f t="shared" si="65"/>
        <v>0</v>
      </c>
      <c r="I126" s="26">
        <f t="shared" si="65"/>
        <v>202679</v>
      </c>
      <c r="J126" s="27">
        <f t="shared" si="57"/>
        <v>0.11224052419042219</v>
      </c>
    </row>
    <row r="127" spans="1:10" s="34" customFormat="1" ht="51">
      <c r="A127" s="484"/>
      <c r="B127" s="483"/>
      <c r="C127" s="70" t="s">
        <v>152</v>
      </c>
      <c r="D127" s="31">
        <f>SUM(E127:F127)</f>
        <v>1439070</v>
      </c>
      <c r="E127" s="31">
        <v>0</v>
      </c>
      <c r="F127" s="31">
        <v>1439070</v>
      </c>
      <c r="G127" s="31">
        <f>SUM(H127:I127)</f>
        <v>201425</v>
      </c>
      <c r="H127" s="31">
        <v>0</v>
      </c>
      <c r="I127" s="75">
        <v>201425</v>
      </c>
      <c r="J127" s="32">
        <f t="shared" si="57"/>
        <v>0.13996886878331144</v>
      </c>
    </row>
    <row r="128" spans="1:10" s="34" customFormat="1" ht="51">
      <c r="A128" s="484"/>
      <c r="B128" s="484"/>
      <c r="C128" s="70" t="s">
        <v>153</v>
      </c>
      <c r="D128" s="31">
        <f>SUM(E128:F128)</f>
        <v>169302</v>
      </c>
      <c r="E128" s="31">
        <v>0</v>
      </c>
      <c r="F128" s="31">
        <v>169302</v>
      </c>
      <c r="G128" s="31">
        <f>SUM(H128:I128)</f>
        <v>1254</v>
      </c>
      <c r="H128" s="31">
        <v>0</v>
      </c>
      <c r="I128" s="31">
        <v>1254</v>
      </c>
      <c r="J128" s="32">
        <f t="shared" si="57"/>
        <v>7.4068823758727011E-3</v>
      </c>
    </row>
    <row r="129" spans="1:10" s="34" customFormat="1" ht="51">
      <c r="A129" s="486"/>
      <c r="B129" s="486"/>
      <c r="C129" s="70" t="s">
        <v>154</v>
      </c>
      <c r="D129" s="31">
        <f>SUM(E129:F129)</f>
        <v>197384</v>
      </c>
      <c r="E129" s="31">
        <v>197384</v>
      </c>
      <c r="F129" s="31">
        <v>0</v>
      </c>
      <c r="G129" s="31">
        <f>SUM(H129:I129)</f>
        <v>0</v>
      </c>
      <c r="H129" s="31">
        <v>0</v>
      </c>
      <c r="I129" s="31">
        <v>0</v>
      </c>
      <c r="J129" s="32">
        <f t="shared" si="57"/>
        <v>0</v>
      </c>
    </row>
    <row r="130" spans="1:10" s="23" customFormat="1" ht="15.75">
      <c r="A130" s="309" t="s">
        <v>292</v>
      </c>
      <c r="B130" s="309"/>
      <c r="C130" s="310" t="s">
        <v>379</v>
      </c>
      <c r="D130" s="311">
        <f t="shared" ref="D130:I131" si="66">SUM(D131)</f>
        <v>0</v>
      </c>
      <c r="E130" s="311">
        <f t="shared" si="66"/>
        <v>0</v>
      </c>
      <c r="F130" s="311">
        <f t="shared" si="66"/>
        <v>0</v>
      </c>
      <c r="G130" s="311">
        <f t="shared" si="66"/>
        <v>9</v>
      </c>
      <c r="H130" s="311">
        <f t="shared" si="66"/>
        <v>9</v>
      </c>
      <c r="I130" s="311">
        <f t="shared" si="66"/>
        <v>0</v>
      </c>
      <c r="J130" s="312"/>
    </row>
    <row r="131" spans="1:10" s="34" customFormat="1" ht="15">
      <c r="A131" s="483"/>
      <c r="B131" s="306" t="s">
        <v>293</v>
      </c>
      <c r="C131" s="313" t="s">
        <v>22</v>
      </c>
      <c r="D131" s="314">
        <f>SUM(D132)</f>
        <v>0</v>
      </c>
      <c r="E131" s="314">
        <f t="shared" si="66"/>
        <v>0</v>
      </c>
      <c r="F131" s="314">
        <f t="shared" si="66"/>
        <v>0</v>
      </c>
      <c r="G131" s="314">
        <f t="shared" si="66"/>
        <v>9</v>
      </c>
      <c r="H131" s="314">
        <f t="shared" si="66"/>
        <v>9</v>
      </c>
      <c r="I131" s="314">
        <f t="shared" si="66"/>
        <v>0</v>
      </c>
      <c r="J131" s="315"/>
    </row>
    <row r="132" spans="1:10" s="34" customFormat="1" ht="51">
      <c r="A132" s="490"/>
      <c r="B132" s="307"/>
      <c r="C132" s="308" t="s">
        <v>448</v>
      </c>
      <c r="D132" s="304">
        <f>SUM(E132:F132)</f>
        <v>0</v>
      </c>
      <c r="E132" s="304">
        <v>0</v>
      </c>
      <c r="F132" s="304">
        <v>0</v>
      </c>
      <c r="G132" s="304">
        <f>SUM(H132:I132)</f>
        <v>9</v>
      </c>
      <c r="H132" s="304">
        <v>9</v>
      </c>
      <c r="I132" s="316">
        <v>0</v>
      </c>
      <c r="J132" s="305"/>
    </row>
    <row r="133" spans="1:10" s="34" customFormat="1" ht="15">
      <c r="A133" s="76" t="s">
        <v>155</v>
      </c>
      <c r="B133" s="76"/>
      <c r="C133" s="73" t="s">
        <v>156</v>
      </c>
      <c r="D133" s="21">
        <f t="shared" ref="D133:I133" si="67">SUM(D134,D137,D140,D143,D146,D149,D155)</f>
        <v>2595750</v>
      </c>
      <c r="E133" s="21">
        <f t="shared" si="67"/>
        <v>2595750</v>
      </c>
      <c r="F133" s="21">
        <f t="shared" si="67"/>
        <v>0</v>
      </c>
      <c r="G133" s="21">
        <f t="shared" si="67"/>
        <v>2539333</v>
      </c>
      <c r="H133" s="21">
        <f t="shared" si="67"/>
        <v>2539333</v>
      </c>
      <c r="I133" s="21">
        <f t="shared" si="67"/>
        <v>0</v>
      </c>
      <c r="J133" s="22">
        <f t="shared" si="57"/>
        <v>0.97826562650486371</v>
      </c>
    </row>
    <row r="134" spans="1:10" s="34" customFormat="1" ht="25.5">
      <c r="A134" s="483"/>
      <c r="B134" s="24" t="s">
        <v>157</v>
      </c>
      <c r="C134" s="74" t="s">
        <v>158</v>
      </c>
      <c r="D134" s="26">
        <f t="shared" ref="D134:I134" si="68">SUM(D135:D136)</f>
        <v>984714</v>
      </c>
      <c r="E134" s="26">
        <f t="shared" si="68"/>
        <v>984714</v>
      </c>
      <c r="F134" s="26">
        <f t="shared" si="68"/>
        <v>0</v>
      </c>
      <c r="G134" s="26">
        <f t="shared" si="68"/>
        <v>914739</v>
      </c>
      <c r="H134" s="26">
        <f t="shared" si="68"/>
        <v>914739</v>
      </c>
      <c r="I134" s="26">
        <f t="shared" si="68"/>
        <v>0</v>
      </c>
      <c r="J134" s="27">
        <f t="shared" si="57"/>
        <v>0.92893875785253388</v>
      </c>
    </row>
    <row r="135" spans="1:10" s="34" customFormat="1" ht="38.25">
      <c r="A135" s="484"/>
      <c r="B135" s="487"/>
      <c r="C135" s="30" t="s">
        <v>159</v>
      </c>
      <c r="D135" s="31">
        <f>SUM(E135:F135)</f>
        <v>837007</v>
      </c>
      <c r="E135" s="31">
        <v>837007</v>
      </c>
      <c r="F135" s="31">
        <v>0</v>
      </c>
      <c r="G135" s="31">
        <f>SUM(H135:I135)</f>
        <v>777527</v>
      </c>
      <c r="H135" s="31">
        <v>777527</v>
      </c>
      <c r="I135" s="31">
        <v>0</v>
      </c>
      <c r="J135" s="32">
        <f t="shared" si="57"/>
        <v>0.9289372729260329</v>
      </c>
    </row>
    <row r="136" spans="1:10" s="34" customFormat="1" ht="38.25">
      <c r="A136" s="484"/>
      <c r="B136" s="487"/>
      <c r="C136" s="30" t="s">
        <v>160</v>
      </c>
      <c r="D136" s="31">
        <f>SUM(E136:F136)</f>
        <v>147707</v>
      </c>
      <c r="E136" s="31">
        <v>147707</v>
      </c>
      <c r="F136" s="31">
        <v>0</v>
      </c>
      <c r="G136" s="31">
        <f>SUM(H136:I136)</f>
        <v>137212</v>
      </c>
      <c r="H136" s="31">
        <v>137212</v>
      </c>
      <c r="I136" s="31">
        <v>0</v>
      </c>
      <c r="J136" s="32">
        <f t="shared" si="57"/>
        <v>0.92894717244274139</v>
      </c>
    </row>
    <row r="137" spans="1:10" s="62" customFormat="1" ht="15">
      <c r="A137" s="484"/>
      <c r="B137" s="51" t="s">
        <v>161</v>
      </c>
      <c r="C137" s="77" t="s">
        <v>23</v>
      </c>
      <c r="D137" s="53">
        <f>SUM(D138:D139)</f>
        <v>694000</v>
      </c>
      <c r="E137" s="53">
        <f t="shared" ref="E137:I137" si="69">SUM(E138:E139)</f>
        <v>694000</v>
      </c>
      <c r="F137" s="53">
        <f t="shared" si="69"/>
        <v>0</v>
      </c>
      <c r="G137" s="53">
        <f t="shared" si="69"/>
        <v>694250</v>
      </c>
      <c r="H137" s="53">
        <f t="shared" si="69"/>
        <v>694250</v>
      </c>
      <c r="I137" s="53">
        <f t="shared" si="69"/>
        <v>0</v>
      </c>
      <c r="J137" s="59">
        <f>G137/D137</f>
        <v>1.0003602305475505</v>
      </c>
    </row>
    <row r="138" spans="1:10" s="68" customFormat="1" ht="38.25">
      <c r="A138" s="484"/>
      <c r="B138" s="488"/>
      <c r="C138" s="72" t="s">
        <v>54</v>
      </c>
      <c r="D138" s="54">
        <f>SUM(E138:F138)</f>
        <v>0</v>
      </c>
      <c r="E138" s="54">
        <v>0</v>
      </c>
      <c r="F138" s="54">
        <v>0</v>
      </c>
      <c r="G138" s="54">
        <f>SUM(H138:I138)</f>
        <v>250</v>
      </c>
      <c r="H138" s="54">
        <v>250</v>
      </c>
      <c r="I138" s="54">
        <v>0</v>
      </c>
      <c r="J138" s="59"/>
    </row>
    <row r="139" spans="1:10" s="62" customFormat="1" ht="38.25">
      <c r="A139" s="484"/>
      <c r="B139" s="489"/>
      <c r="C139" s="72" t="s">
        <v>142</v>
      </c>
      <c r="D139" s="54">
        <f>SUM(E139:F139)</f>
        <v>694000</v>
      </c>
      <c r="E139" s="54">
        <v>694000</v>
      </c>
      <c r="F139" s="54">
        <v>0</v>
      </c>
      <c r="G139" s="54">
        <f>SUM(H139:I139)</f>
        <v>694000</v>
      </c>
      <c r="H139" s="54">
        <v>694000</v>
      </c>
      <c r="I139" s="54">
        <v>0</v>
      </c>
      <c r="J139" s="63">
        <f t="shared" si="57"/>
        <v>1</v>
      </c>
    </row>
    <row r="140" spans="1:10" s="34" customFormat="1" ht="15">
      <c r="A140" s="484"/>
      <c r="B140" s="24" t="s">
        <v>162</v>
      </c>
      <c r="C140" s="74" t="s">
        <v>163</v>
      </c>
      <c r="D140" s="26">
        <f t="shared" ref="D140:I140" si="70">SUM(D141:D142)</f>
        <v>258000</v>
      </c>
      <c r="E140" s="26">
        <f t="shared" si="70"/>
        <v>258000</v>
      </c>
      <c r="F140" s="26">
        <f t="shared" si="70"/>
        <v>0</v>
      </c>
      <c r="G140" s="26">
        <f t="shared" si="70"/>
        <v>352378</v>
      </c>
      <c r="H140" s="26">
        <f t="shared" si="70"/>
        <v>352378</v>
      </c>
      <c r="I140" s="26">
        <f t="shared" si="70"/>
        <v>0</v>
      </c>
      <c r="J140" s="27">
        <f t="shared" si="57"/>
        <v>1.3658062015503876</v>
      </c>
    </row>
    <row r="141" spans="1:10" ht="25.5">
      <c r="A141" s="484"/>
      <c r="B141" s="473"/>
      <c r="C141" s="48" t="s">
        <v>164</v>
      </c>
      <c r="D141" s="78">
        <f>SUM(E141:F141)</f>
        <v>191000</v>
      </c>
      <c r="E141" s="78">
        <f>3000+38000+150000</f>
        <v>191000</v>
      </c>
      <c r="F141" s="79">
        <v>0</v>
      </c>
      <c r="G141" s="78">
        <f>SUM(H141:I141)</f>
        <v>285378</v>
      </c>
      <c r="H141" s="78">
        <f>26+5793+46854+186+232519</f>
        <v>285378</v>
      </c>
      <c r="I141" s="31"/>
      <c r="J141" s="32">
        <f t="shared" si="57"/>
        <v>1.4941256544502617</v>
      </c>
    </row>
    <row r="142" spans="1:10" ht="25.5">
      <c r="A142" s="484"/>
      <c r="B142" s="473"/>
      <c r="C142" s="47" t="s">
        <v>165</v>
      </c>
      <c r="D142" s="78">
        <f>SUM(E142:F142)</f>
        <v>67000</v>
      </c>
      <c r="E142" s="78">
        <v>67000</v>
      </c>
      <c r="F142" s="79">
        <v>0</v>
      </c>
      <c r="G142" s="78">
        <f>SUM(H142:I142)</f>
        <v>67000</v>
      </c>
      <c r="H142" s="78">
        <v>67000</v>
      </c>
      <c r="I142" s="78">
        <v>0</v>
      </c>
      <c r="J142" s="32">
        <f t="shared" si="57"/>
        <v>1</v>
      </c>
    </row>
    <row r="143" spans="1:10" s="62" customFormat="1" ht="15">
      <c r="A143" s="484"/>
      <c r="B143" s="80">
        <v>75046</v>
      </c>
      <c r="C143" s="81" t="s">
        <v>24</v>
      </c>
      <c r="D143" s="82">
        <f t="shared" ref="D143:I143" si="71">SUM(D144:D145)</f>
        <v>53474</v>
      </c>
      <c r="E143" s="82">
        <f t="shared" si="71"/>
        <v>53474</v>
      </c>
      <c r="F143" s="82">
        <f t="shared" si="71"/>
        <v>0</v>
      </c>
      <c r="G143" s="82">
        <f t="shared" si="71"/>
        <v>48974</v>
      </c>
      <c r="H143" s="82">
        <f t="shared" si="71"/>
        <v>48974</v>
      </c>
      <c r="I143" s="82">
        <f t="shared" si="71"/>
        <v>0</v>
      </c>
      <c r="J143" s="59">
        <f t="shared" si="57"/>
        <v>0.91584695365972246</v>
      </c>
    </row>
    <row r="144" spans="1:10" s="85" customFormat="1" ht="38.25">
      <c r="A144" s="484"/>
      <c r="B144" s="485"/>
      <c r="C144" s="72" t="s">
        <v>142</v>
      </c>
      <c r="D144" s="83">
        <f>SUM(E144:F144)</f>
        <v>49000</v>
      </c>
      <c r="E144" s="83">
        <v>49000</v>
      </c>
      <c r="F144" s="84">
        <v>0</v>
      </c>
      <c r="G144" s="83">
        <f>SUM(H144:I144)</f>
        <v>45988</v>
      </c>
      <c r="H144" s="83">
        <v>45988</v>
      </c>
      <c r="I144" s="83">
        <v>0</v>
      </c>
      <c r="J144" s="63">
        <f t="shared" si="57"/>
        <v>0.93853061224489798</v>
      </c>
    </row>
    <row r="145" spans="1:10" s="85" customFormat="1" ht="38.25">
      <c r="A145" s="484"/>
      <c r="B145" s="485"/>
      <c r="C145" s="72" t="s">
        <v>54</v>
      </c>
      <c r="D145" s="83">
        <f>SUM(E145:F145)</f>
        <v>4474</v>
      </c>
      <c r="E145" s="83">
        <v>4474</v>
      </c>
      <c r="F145" s="84">
        <v>0</v>
      </c>
      <c r="G145" s="83">
        <f>SUM(H145:I145)</f>
        <v>2986</v>
      </c>
      <c r="H145" s="83">
        <v>2986</v>
      </c>
      <c r="I145" s="83">
        <v>0</v>
      </c>
      <c r="J145" s="63">
        <f t="shared" si="57"/>
        <v>0.66741171211443895</v>
      </c>
    </row>
    <row r="146" spans="1:10" s="62" customFormat="1" ht="15">
      <c r="A146" s="484"/>
      <c r="B146" s="80">
        <v>75071</v>
      </c>
      <c r="C146" s="81" t="s">
        <v>166</v>
      </c>
      <c r="D146" s="82">
        <f t="shared" ref="D146:I146" si="72">SUM(D147:D148)</f>
        <v>348573</v>
      </c>
      <c r="E146" s="82">
        <f t="shared" si="72"/>
        <v>348573</v>
      </c>
      <c r="F146" s="82">
        <f t="shared" si="72"/>
        <v>0</v>
      </c>
      <c r="G146" s="82">
        <f t="shared" si="72"/>
        <v>267318</v>
      </c>
      <c r="H146" s="82">
        <f t="shared" si="72"/>
        <v>267318</v>
      </c>
      <c r="I146" s="82">
        <f t="shared" si="72"/>
        <v>0</v>
      </c>
      <c r="J146" s="59">
        <f t="shared" si="57"/>
        <v>0.76689244433734105</v>
      </c>
    </row>
    <row r="147" spans="1:10" s="85" customFormat="1" ht="51">
      <c r="A147" s="484"/>
      <c r="B147" s="485"/>
      <c r="C147" s="47" t="s">
        <v>167</v>
      </c>
      <c r="D147" s="83">
        <f>SUM(E147:F147)</f>
        <v>296287</v>
      </c>
      <c r="E147" s="83">
        <v>296287</v>
      </c>
      <c r="F147" s="84">
        <v>0</v>
      </c>
      <c r="G147" s="83">
        <f>SUM(H147:I147)</f>
        <v>227220</v>
      </c>
      <c r="H147" s="83">
        <v>227220</v>
      </c>
      <c r="I147" s="83">
        <v>0</v>
      </c>
      <c r="J147" s="63">
        <f t="shared" si="57"/>
        <v>0.76689156122273339</v>
      </c>
    </row>
    <row r="148" spans="1:10" s="85" customFormat="1" ht="51">
      <c r="A148" s="484"/>
      <c r="B148" s="485"/>
      <c r="C148" s="47" t="s">
        <v>168</v>
      </c>
      <c r="D148" s="83">
        <f>SUM(E148:F148)</f>
        <v>52286</v>
      </c>
      <c r="E148" s="83">
        <v>52286</v>
      </c>
      <c r="F148" s="84">
        <v>0</v>
      </c>
      <c r="G148" s="83">
        <f>SUM(H148:I148)</f>
        <v>40098</v>
      </c>
      <c r="H148" s="83">
        <v>40098</v>
      </c>
      <c r="I148" s="83">
        <v>0</v>
      </c>
      <c r="J148" s="63">
        <f t="shared" si="57"/>
        <v>0.76689744864782161</v>
      </c>
    </row>
    <row r="149" spans="1:10" s="62" customFormat="1" ht="15">
      <c r="A149" s="484"/>
      <c r="B149" s="80">
        <v>75075</v>
      </c>
      <c r="C149" s="81" t="s">
        <v>169</v>
      </c>
      <c r="D149" s="82">
        <f>SUM(D150:D154)</f>
        <v>110685</v>
      </c>
      <c r="E149" s="82">
        <f t="shared" ref="E149:I149" si="73">SUM(E150:E154)</f>
        <v>110685</v>
      </c>
      <c r="F149" s="82">
        <f t="shared" si="73"/>
        <v>0</v>
      </c>
      <c r="G149" s="82">
        <f t="shared" si="73"/>
        <v>112048</v>
      </c>
      <c r="H149" s="82">
        <f t="shared" si="73"/>
        <v>112048</v>
      </c>
      <c r="I149" s="82">
        <f t="shared" si="73"/>
        <v>0</v>
      </c>
      <c r="J149" s="59">
        <f t="shared" si="57"/>
        <v>1.0123142250530786</v>
      </c>
    </row>
    <row r="150" spans="1:10" s="85" customFormat="1" ht="33.75" customHeight="1">
      <c r="A150" s="484"/>
      <c r="B150" s="491"/>
      <c r="C150" s="49" t="s">
        <v>254</v>
      </c>
      <c r="D150" s="83">
        <f>SUM(E150:F150)</f>
        <v>60000</v>
      </c>
      <c r="E150" s="83">
        <v>60000</v>
      </c>
      <c r="F150" s="84">
        <v>0</v>
      </c>
      <c r="G150" s="83">
        <f>SUM(H150:I150)</f>
        <v>60000</v>
      </c>
      <c r="H150" s="83">
        <v>60000</v>
      </c>
      <c r="I150" s="83">
        <v>0</v>
      </c>
      <c r="J150" s="63">
        <f t="shared" si="57"/>
        <v>1</v>
      </c>
    </row>
    <row r="151" spans="1:10" s="85" customFormat="1" ht="39" customHeight="1">
      <c r="A151" s="484"/>
      <c r="B151" s="492"/>
      <c r="C151" s="47" t="s">
        <v>449</v>
      </c>
      <c r="D151" s="83">
        <f>SUM(E151:F151)</f>
        <v>17000</v>
      </c>
      <c r="E151" s="83">
        <v>17000</v>
      </c>
      <c r="F151" s="84">
        <v>0</v>
      </c>
      <c r="G151" s="83">
        <f>SUM(H151:I151)</f>
        <v>8500</v>
      </c>
      <c r="H151" s="83">
        <v>8500</v>
      </c>
      <c r="I151" s="83">
        <v>0</v>
      </c>
      <c r="J151" s="63">
        <f t="shared" ref="J151" si="74">G151/D151</f>
        <v>0.5</v>
      </c>
    </row>
    <row r="152" spans="1:10" s="85" customFormat="1" ht="25.5">
      <c r="A152" s="484"/>
      <c r="B152" s="492"/>
      <c r="C152" s="48" t="s">
        <v>396</v>
      </c>
      <c r="D152" s="83">
        <f>SUM(E152:F152)</f>
        <v>0</v>
      </c>
      <c r="E152" s="83">
        <v>0</v>
      </c>
      <c r="F152" s="84">
        <v>0</v>
      </c>
      <c r="G152" s="83">
        <f>SUM(H152:I152)</f>
        <v>2439</v>
      </c>
      <c r="H152" s="83">
        <v>2439</v>
      </c>
      <c r="I152" s="83">
        <v>0</v>
      </c>
      <c r="J152" s="63"/>
    </row>
    <row r="153" spans="1:10" s="85" customFormat="1" ht="25.5">
      <c r="A153" s="484"/>
      <c r="B153" s="491"/>
      <c r="C153" s="57" t="s">
        <v>164</v>
      </c>
      <c r="D153" s="83">
        <f>SUM(E153:F153)</f>
        <v>0</v>
      </c>
      <c r="E153" s="83">
        <v>0</v>
      </c>
      <c r="F153" s="84">
        <v>0</v>
      </c>
      <c r="G153" s="83">
        <f>SUM(H153:I153)</f>
        <v>7424</v>
      </c>
      <c r="H153" s="83">
        <v>7424</v>
      </c>
      <c r="I153" s="83">
        <v>0</v>
      </c>
      <c r="J153" s="63"/>
    </row>
    <row r="154" spans="1:10" s="85" customFormat="1" ht="25.5">
      <c r="A154" s="484"/>
      <c r="B154" s="491"/>
      <c r="C154" s="86" t="s">
        <v>170</v>
      </c>
      <c r="D154" s="83">
        <f>SUM(E154:F154)</f>
        <v>33685</v>
      </c>
      <c r="E154" s="83">
        <v>33685</v>
      </c>
      <c r="F154" s="84">
        <v>0</v>
      </c>
      <c r="G154" s="83">
        <f>SUM(H154:I154)</f>
        <v>33685</v>
      </c>
      <c r="H154" s="83">
        <v>33685</v>
      </c>
      <c r="I154" s="83">
        <v>0</v>
      </c>
      <c r="J154" s="63">
        <f t="shared" si="57"/>
        <v>1</v>
      </c>
    </row>
    <row r="155" spans="1:10" s="34" customFormat="1" ht="15">
      <c r="A155" s="484"/>
      <c r="B155" s="87">
        <v>75095</v>
      </c>
      <c r="C155" s="88" t="s">
        <v>22</v>
      </c>
      <c r="D155" s="89">
        <f>SUM(D156:D160)</f>
        <v>146304</v>
      </c>
      <c r="E155" s="89">
        <f t="shared" ref="E155:I155" si="75">SUM(E156:E160)</f>
        <v>146304</v>
      </c>
      <c r="F155" s="89">
        <f t="shared" si="75"/>
        <v>0</v>
      </c>
      <c r="G155" s="89">
        <f t="shared" si="75"/>
        <v>149626</v>
      </c>
      <c r="H155" s="89">
        <f t="shared" si="75"/>
        <v>149626</v>
      </c>
      <c r="I155" s="89">
        <f t="shared" si="75"/>
        <v>0</v>
      </c>
      <c r="J155" s="27">
        <f t="shared" ref="J155:J221" si="76">G155/D155</f>
        <v>1.0227061461067366</v>
      </c>
    </row>
    <row r="156" spans="1:10" ht="25.5">
      <c r="A156" s="484"/>
      <c r="B156" s="461"/>
      <c r="C156" s="90" t="s">
        <v>171</v>
      </c>
      <c r="D156" s="78">
        <f>SUM(E156:F156)</f>
        <v>85000</v>
      </c>
      <c r="E156" s="78">
        <v>85000</v>
      </c>
      <c r="F156" s="79">
        <v>0</v>
      </c>
      <c r="G156" s="78">
        <f>SUM(H156:I156)</f>
        <v>85000</v>
      </c>
      <c r="H156" s="78">
        <v>85000</v>
      </c>
      <c r="I156" s="78">
        <v>0</v>
      </c>
      <c r="J156" s="32">
        <f t="shared" si="76"/>
        <v>1</v>
      </c>
    </row>
    <row r="157" spans="1:10" ht="29.25" customHeight="1">
      <c r="A157" s="484"/>
      <c r="B157" s="463"/>
      <c r="C157" s="49" t="s">
        <v>254</v>
      </c>
      <c r="D157" s="78">
        <f>SUM(E157:F157)</f>
        <v>60000</v>
      </c>
      <c r="E157" s="78">
        <v>60000</v>
      </c>
      <c r="F157" s="79">
        <v>0</v>
      </c>
      <c r="G157" s="78">
        <f>SUM(H157:I157)</f>
        <v>60000</v>
      </c>
      <c r="H157" s="78">
        <v>60000</v>
      </c>
      <c r="I157" s="78">
        <v>0</v>
      </c>
      <c r="J157" s="32">
        <f t="shared" si="76"/>
        <v>1</v>
      </c>
    </row>
    <row r="158" spans="1:10" s="85" customFormat="1" ht="25.5">
      <c r="A158" s="484"/>
      <c r="B158" s="463"/>
      <c r="C158" s="57" t="s">
        <v>164</v>
      </c>
      <c r="D158" s="83">
        <f>SUM(E158:F158)</f>
        <v>0</v>
      </c>
      <c r="E158" s="83">
        <v>0</v>
      </c>
      <c r="F158" s="84">
        <v>0</v>
      </c>
      <c r="G158" s="83">
        <f>SUM(H158:I158)</f>
        <v>3322</v>
      </c>
      <c r="H158" s="83">
        <v>3322</v>
      </c>
      <c r="I158" s="83">
        <v>0</v>
      </c>
      <c r="J158" s="63"/>
    </row>
    <row r="159" spans="1:10" s="23" customFormat="1" ht="25.5">
      <c r="A159" s="484"/>
      <c r="B159" s="463"/>
      <c r="C159" s="48" t="s">
        <v>395</v>
      </c>
      <c r="D159" s="31">
        <f>SUM(E159:F159)</f>
        <v>1100</v>
      </c>
      <c r="E159" s="31">
        <v>1100</v>
      </c>
      <c r="F159" s="31">
        <v>0</v>
      </c>
      <c r="G159" s="31">
        <f>SUM(H159:I159)</f>
        <v>1100</v>
      </c>
      <c r="H159" s="31">
        <v>1100</v>
      </c>
      <c r="I159" s="31">
        <v>0</v>
      </c>
      <c r="J159" s="32">
        <f t="shared" si="76"/>
        <v>1</v>
      </c>
    </row>
    <row r="160" spans="1:10" s="37" customFormat="1" ht="38.25">
      <c r="A160" s="490"/>
      <c r="B160" s="462"/>
      <c r="C160" s="48" t="s">
        <v>450</v>
      </c>
      <c r="D160" s="31">
        <f>SUM(E160:F160)</f>
        <v>204</v>
      </c>
      <c r="E160" s="31">
        <v>204</v>
      </c>
      <c r="F160" s="31">
        <v>0</v>
      </c>
      <c r="G160" s="31">
        <f>SUM(H160:I160)</f>
        <v>204</v>
      </c>
      <c r="H160" s="31">
        <v>204</v>
      </c>
      <c r="I160" s="31">
        <v>0</v>
      </c>
      <c r="J160" s="32">
        <f t="shared" si="76"/>
        <v>1</v>
      </c>
    </row>
    <row r="161" spans="1:10">
      <c r="A161" s="91">
        <v>752</v>
      </c>
      <c r="B161" s="91"/>
      <c r="C161" s="92" t="s">
        <v>172</v>
      </c>
      <c r="D161" s="93">
        <f>SUM(D162)</f>
        <v>4000</v>
      </c>
      <c r="E161" s="93">
        <f t="shared" ref="E161:I161" si="77">SUM(E162)</f>
        <v>4000</v>
      </c>
      <c r="F161" s="93">
        <f t="shared" si="77"/>
        <v>0</v>
      </c>
      <c r="G161" s="93">
        <f t="shared" si="77"/>
        <v>4000</v>
      </c>
      <c r="H161" s="93">
        <f t="shared" si="77"/>
        <v>4000</v>
      </c>
      <c r="I161" s="93">
        <f t="shared" si="77"/>
        <v>0</v>
      </c>
      <c r="J161" s="22">
        <f t="shared" si="76"/>
        <v>1</v>
      </c>
    </row>
    <row r="162" spans="1:10">
      <c r="A162" s="483"/>
      <c r="B162" s="87">
        <v>75212</v>
      </c>
      <c r="C162" s="88" t="s">
        <v>38</v>
      </c>
      <c r="D162" s="89">
        <f>SUM(D163:D163)</f>
        <v>4000</v>
      </c>
      <c r="E162" s="89">
        <f t="shared" ref="E162:I162" si="78">SUM(E163:E163)</f>
        <v>4000</v>
      </c>
      <c r="F162" s="89">
        <f t="shared" si="78"/>
        <v>0</v>
      </c>
      <c r="G162" s="89">
        <f t="shared" si="78"/>
        <v>4000</v>
      </c>
      <c r="H162" s="89">
        <f t="shared" si="78"/>
        <v>4000</v>
      </c>
      <c r="I162" s="89">
        <f t="shared" si="78"/>
        <v>0</v>
      </c>
      <c r="J162" s="27">
        <f t="shared" si="76"/>
        <v>1</v>
      </c>
    </row>
    <row r="163" spans="1:10" ht="38.25">
      <c r="A163" s="484"/>
      <c r="B163" s="18"/>
      <c r="C163" s="72" t="s">
        <v>142</v>
      </c>
      <c r="D163" s="94">
        <f>SUM(E163:F163)</f>
        <v>4000</v>
      </c>
      <c r="E163" s="95">
        <v>4000</v>
      </c>
      <c r="F163" s="31">
        <v>0</v>
      </c>
      <c r="G163" s="94">
        <f>SUM(H163:I163)</f>
        <v>4000</v>
      </c>
      <c r="H163" s="95">
        <v>4000</v>
      </c>
      <c r="I163" s="94">
        <v>0</v>
      </c>
      <c r="J163" s="32">
        <f t="shared" si="76"/>
        <v>1</v>
      </c>
    </row>
    <row r="164" spans="1:10" ht="51">
      <c r="A164" s="91">
        <v>756</v>
      </c>
      <c r="B164" s="91"/>
      <c r="C164" s="92" t="s">
        <v>173</v>
      </c>
      <c r="D164" s="93">
        <f>SUM(D165,D168)</f>
        <v>144807819</v>
      </c>
      <c r="E164" s="93">
        <f t="shared" ref="E164:I164" si="79">SUM(E165,E168)</f>
        <v>144807819</v>
      </c>
      <c r="F164" s="93">
        <f t="shared" si="79"/>
        <v>0</v>
      </c>
      <c r="G164" s="93">
        <f t="shared" si="79"/>
        <v>154322174</v>
      </c>
      <c r="H164" s="93">
        <f t="shared" si="79"/>
        <v>154322174</v>
      </c>
      <c r="I164" s="93">
        <f t="shared" si="79"/>
        <v>0</v>
      </c>
      <c r="J164" s="22">
        <f t="shared" si="76"/>
        <v>1.0657033236582343</v>
      </c>
    </row>
    <row r="165" spans="1:10" ht="25.5">
      <c r="A165" s="466"/>
      <c r="B165" s="87">
        <v>75618</v>
      </c>
      <c r="C165" s="88" t="s">
        <v>174</v>
      </c>
      <c r="D165" s="89">
        <f t="shared" ref="D165:I165" si="80">SUM(D166:D167)</f>
        <v>389850</v>
      </c>
      <c r="E165" s="89">
        <f t="shared" si="80"/>
        <v>389850</v>
      </c>
      <c r="F165" s="89">
        <f t="shared" si="80"/>
        <v>0</v>
      </c>
      <c r="G165" s="89">
        <f t="shared" si="80"/>
        <v>620100</v>
      </c>
      <c r="H165" s="89">
        <f t="shared" si="80"/>
        <v>620100</v>
      </c>
      <c r="I165" s="89">
        <f t="shared" si="80"/>
        <v>0</v>
      </c>
      <c r="J165" s="27">
        <f t="shared" si="76"/>
        <v>1.5906117737591381</v>
      </c>
    </row>
    <row r="166" spans="1:10">
      <c r="A166" s="477"/>
      <c r="B166" s="473"/>
      <c r="C166" s="90" t="s">
        <v>175</v>
      </c>
      <c r="D166" s="78">
        <f>SUM(E166:F166)</f>
        <v>383100</v>
      </c>
      <c r="E166" s="83">
        <v>383100</v>
      </c>
      <c r="F166" s="79">
        <v>0</v>
      </c>
      <c r="G166" s="78">
        <f>SUM(H166:I166)</f>
        <v>611600</v>
      </c>
      <c r="H166" s="83">
        <v>611600</v>
      </c>
      <c r="I166" s="78">
        <v>0</v>
      </c>
      <c r="J166" s="32">
        <f t="shared" si="76"/>
        <v>1.5964500130514225</v>
      </c>
    </row>
    <row r="167" spans="1:10" ht="25.5">
      <c r="A167" s="477"/>
      <c r="B167" s="473"/>
      <c r="C167" s="101" t="s">
        <v>176</v>
      </c>
      <c r="D167" s="78">
        <f>SUM(E167:F167)</f>
        <v>6750</v>
      </c>
      <c r="E167" s="78">
        <v>6750</v>
      </c>
      <c r="F167" s="79">
        <v>0</v>
      </c>
      <c r="G167" s="78">
        <f>SUM(H167:I167)</f>
        <v>8500</v>
      </c>
      <c r="H167" s="78">
        <v>8500</v>
      </c>
      <c r="I167" s="78">
        <v>0</v>
      </c>
      <c r="J167" s="32">
        <f t="shared" si="76"/>
        <v>1.2592592592592593</v>
      </c>
    </row>
    <row r="168" spans="1:10" s="62" customFormat="1" ht="25.5">
      <c r="A168" s="477"/>
      <c r="B168" s="80">
        <v>75623</v>
      </c>
      <c r="C168" s="81" t="s">
        <v>177</v>
      </c>
      <c r="D168" s="82">
        <f t="shared" ref="D168:I168" si="81">SUM(D169:D170)</f>
        <v>144417969</v>
      </c>
      <c r="E168" s="82">
        <f t="shared" si="81"/>
        <v>144417969</v>
      </c>
      <c r="F168" s="82">
        <f t="shared" si="81"/>
        <v>0</v>
      </c>
      <c r="G168" s="82">
        <f t="shared" si="81"/>
        <v>153702074</v>
      </c>
      <c r="H168" s="82">
        <f t="shared" si="81"/>
        <v>153702074</v>
      </c>
      <c r="I168" s="82">
        <f t="shared" si="81"/>
        <v>0</v>
      </c>
      <c r="J168" s="59">
        <f t="shared" si="76"/>
        <v>1.064286356222057</v>
      </c>
    </row>
    <row r="169" spans="1:10" s="85" customFormat="1">
      <c r="A169" s="477"/>
      <c r="B169" s="485"/>
      <c r="C169" s="96" t="s">
        <v>178</v>
      </c>
      <c r="D169" s="83">
        <f>SUM(E169:F169)</f>
        <v>36817969</v>
      </c>
      <c r="E169" s="83">
        <v>36817969</v>
      </c>
      <c r="F169" s="84">
        <v>0</v>
      </c>
      <c r="G169" s="83">
        <f>SUM(H169:I169)</f>
        <v>35796089</v>
      </c>
      <c r="H169" s="83">
        <v>35796089</v>
      </c>
      <c r="I169" s="83">
        <v>0</v>
      </c>
      <c r="J169" s="63">
        <f t="shared" si="76"/>
        <v>0.97224507413757666</v>
      </c>
    </row>
    <row r="170" spans="1:10" s="85" customFormat="1">
      <c r="A170" s="477"/>
      <c r="B170" s="485"/>
      <c r="C170" s="96" t="s">
        <v>179</v>
      </c>
      <c r="D170" s="83">
        <f>SUM(E170:F170)</f>
        <v>107600000</v>
      </c>
      <c r="E170" s="83">
        <v>107600000</v>
      </c>
      <c r="F170" s="84">
        <v>0</v>
      </c>
      <c r="G170" s="83">
        <f>SUM(H170:I170)</f>
        <v>117905985</v>
      </c>
      <c r="H170" s="83">
        <v>117905985</v>
      </c>
      <c r="I170" s="83">
        <v>0</v>
      </c>
      <c r="J170" s="63">
        <f t="shared" si="76"/>
        <v>1.0957805297397769</v>
      </c>
    </row>
    <row r="171" spans="1:10" s="97" customFormat="1" ht="15.75">
      <c r="A171" s="91">
        <v>758</v>
      </c>
      <c r="B171" s="91"/>
      <c r="C171" s="92" t="s">
        <v>180</v>
      </c>
      <c r="D171" s="93">
        <f t="shared" ref="D171:I171" si="82">SUM(D172,D174,D176,D178,D180,D182,D186,)</f>
        <v>559996387</v>
      </c>
      <c r="E171" s="93">
        <f t="shared" si="82"/>
        <v>374086566</v>
      </c>
      <c r="F171" s="93">
        <f t="shared" si="82"/>
        <v>185909821</v>
      </c>
      <c r="G171" s="93">
        <f t="shared" si="82"/>
        <v>498462248</v>
      </c>
      <c r="H171" s="93">
        <f t="shared" si="82"/>
        <v>358678974</v>
      </c>
      <c r="I171" s="93">
        <f t="shared" si="82"/>
        <v>139783274</v>
      </c>
      <c r="J171" s="22">
        <f t="shared" si="76"/>
        <v>0.89011689998635657</v>
      </c>
    </row>
    <row r="172" spans="1:10" s="62" customFormat="1" ht="25.5">
      <c r="A172" s="468"/>
      <c r="B172" s="80">
        <v>75801</v>
      </c>
      <c r="C172" s="81" t="s">
        <v>181</v>
      </c>
      <c r="D172" s="82">
        <f t="shared" ref="D172:I172" si="83">SUM(D173)</f>
        <v>50205632</v>
      </c>
      <c r="E172" s="82">
        <f t="shared" si="83"/>
        <v>50205632</v>
      </c>
      <c r="F172" s="82">
        <f t="shared" si="83"/>
        <v>0</v>
      </c>
      <c r="G172" s="82">
        <f t="shared" si="83"/>
        <v>50205632</v>
      </c>
      <c r="H172" s="82">
        <f t="shared" si="83"/>
        <v>50205632</v>
      </c>
      <c r="I172" s="82">
        <f t="shared" si="83"/>
        <v>0</v>
      </c>
      <c r="J172" s="59">
        <f t="shared" si="76"/>
        <v>1</v>
      </c>
    </row>
    <row r="173" spans="1:10" s="85" customFormat="1">
      <c r="A173" s="468"/>
      <c r="B173" s="98"/>
      <c r="C173" s="96" t="s">
        <v>182</v>
      </c>
      <c r="D173" s="83">
        <f>SUM(E173:F173)</f>
        <v>50205632</v>
      </c>
      <c r="E173" s="83">
        <v>50205632</v>
      </c>
      <c r="F173" s="84">
        <v>0</v>
      </c>
      <c r="G173" s="83">
        <f>SUM(H173:I173)</f>
        <v>50205632</v>
      </c>
      <c r="H173" s="83">
        <v>50205632</v>
      </c>
      <c r="I173" s="83">
        <v>0</v>
      </c>
      <c r="J173" s="63">
        <f t="shared" si="76"/>
        <v>1</v>
      </c>
    </row>
    <row r="174" spans="1:10" s="62" customFormat="1" ht="25.5">
      <c r="A174" s="468"/>
      <c r="B174" s="80">
        <v>75802</v>
      </c>
      <c r="C174" s="81" t="s">
        <v>183</v>
      </c>
      <c r="D174" s="82">
        <f t="shared" ref="D174:I174" si="84">SUM(D175:D175)</f>
        <v>4974000</v>
      </c>
      <c r="E174" s="82">
        <f t="shared" si="84"/>
        <v>0</v>
      </c>
      <c r="F174" s="82">
        <f t="shared" si="84"/>
        <v>4974000</v>
      </c>
      <c r="G174" s="82">
        <f t="shared" si="84"/>
        <v>4974000</v>
      </c>
      <c r="H174" s="82">
        <f t="shared" si="84"/>
        <v>0</v>
      </c>
      <c r="I174" s="82">
        <f t="shared" si="84"/>
        <v>4974000</v>
      </c>
      <c r="J174" s="59">
        <f t="shared" si="76"/>
        <v>1</v>
      </c>
    </row>
    <row r="175" spans="1:10" s="85" customFormat="1" ht="38.25">
      <c r="A175" s="468"/>
      <c r="B175" s="99"/>
      <c r="C175" s="72" t="s">
        <v>184</v>
      </c>
      <c r="D175" s="83">
        <f>SUM(E175:F175)</f>
        <v>4974000</v>
      </c>
      <c r="E175" s="83">
        <v>0</v>
      </c>
      <c r="F175" s="54">
        <v>4974000</v>
      </c>
      <c r="G175" s="83">
        <f>SUM(H175:I175)</f>
        <v>4974000</v>
      </c>
      <c r="H175" s="83">
        <v>0</v>
      </c>
      <c r="I175" s="83">
        <v>4974000</v>
      </c>
      <c r="J175" s="63">
        <f t="shared" si="76"/>
        <v>1</v>
      </c>
    </row>
    <row r="176" spans="1:10" s="62" customFormat="1" ht="15">
      <c r="A176" s="468"/>
      <c r="B176" s="80">
        <v>75804</v>
      </c>
      <c r="C176" s="81" t="s">
        <v>185</v>
      </c>
      <c r="D176" s="82">
        <f t="shared" ref="D176:I176" si="85">SUM(D177)</f>
        <v>127134179</v>
      </c>
      <c r="E176" s="82">
        <f t="shared" si="85"/>
        <v>127134179</v>
      </c>
      <c r="F176" s="82">
        <f t="shared" si="85"/>
        <v>0</v>
      </c>
      <c r="G176" s="82">
        <f t="shared" si="85"/>
        <v>127134179</v>
      </c>
      <c r="H176" s="82">
        <f t="shared" si="85"/>
        <v>127134179</v>
      </c>
      <c r="I176" s="82">
        <f t="shared" si="85"/>
        <v>0</v>
      </c>
      <c r="J176" s="59">
        <f t="shared" si="76"/>
        <v>1</v>
      </c>
    </row>
    <row r="177" spans="1:10" s="85" customFormat="1">
      <c r="A177" s="468"/>
      <c r="B177" s="98"/>
      <c r="C177" s="96" t="s">
        <v>182</v>
      </c>
      <c r="D177" s="83">
        <f>SUM(E177:F177)</f>
        <v>127134179</v>
      </c>
      <c r="E177" s="83">
        <v>127134179</v>
      </c>
      <c r="F177" s="84">
        <v>0</v>
      </c>
      <c r="G177" s="83">
        <f>SUM(H177:I177)</f>
        <v>127134179</v>
      </c>
      <c r="H177" s="83">
        <v>127134179</v>
      </c>
      <c r="I177" s="83">
        <v>0</v>
      </c>
      <c r="J177" s="63">
        <f t="shared" si="76"/>
        <v>1</v>
      </c>
    </row>
    <row r="178" spans="1:10" s="62" customFormat="1" ht="15">
      <c r="A178" s="468"/>
      <c r="B178" s="80">
        <v>75814</v>
      </c>
      <c r="C178" s="81" t="s">
        <v>186</v>
      </c>
      <c r="D178" s="82">
        <f t="shared" ref="D178:I178" si="86">SUM(D179:D179)</f>
        <v>6000000</v>
      </c>
      <c r="E178" s="82">
        <f t="shared" si="86"/>
        <v>6000000</v>
      </c>
      <c r="F178" s="82">
        <f t="shared" si="86"/>
        <v>0</v>
      </c>
      <c r="G178" s="82">
        <f t="shared" si="86"/>
        <v>6368624</v>
      </c>
      <c r="H178" s="82">
        <f t="shared" si="86"/>
        <v>6368624</v>
      </c>
      <c r="I178" s="82">
        <f t="shared" si="86"/>
        <v>0</v>
      </c>
      <c r="J178" s="59">
        <f t="shared" si="76"/>
        <v>1.0614373333333333</v>
      </c>
    </row>
    <row r="179" spans="1:10" s="85" customFormat="1" ht="25.5">
      <c r="A179" s="468"/>
      <c r="B179" s="98"/>
      <c r="C179" s="96" t="s">
        <v>187</v>
      </c>
      <c r="D179" s="83">
        <f>SUM(E179:F179)</f>
        <v>6000000</v>
      </c>
      <c r="E179" s="83">
        <v>6000000</v>
      </c>
      <c r="F179" s="84">
        <v>0</v>
      </c>
      <c r="G179" s="83">
        <f>SUM(H179:I179)</f>
        <v>6368624</v>
      </c>
      <c r="H179" s="83">
        <v>6368624</v>
      </c>
      <c r="I179" s="83"/>
      <c r="J179" s="63">
        <f t="shared" si="76"/>
        <v>1.0614373333333333</v>
      </c>
    </row>
    <row r="180" spans="1:10" s="62" customFormat="1" ht="15">
      <c r="A180" s="468"/>
      <c r="B180" s="80">
        <v>75833</v>
      </c>
      <c r="C180" s="81" t="s">
        <v>188</v>
      </c>
      <c r="D180" s="82">
        <f t="shared" ref="D180:I180" si="87">SUM(D181)</f>
        <v>101487939</v>
      </c>
      <c r="E180" s="82">
        <f t="shared" si="87"/>
        <v>101487939</v>
      </c>
      <c r="F180" s="82">
        <f t="shared" si="87"/>
        <v>0</v>
      </c>
      <c r="G180" s="82">
        <f t="shared" si="87"/>
        <v>101487939</v>
      </c>
      <c r="H180" s="82">
        <f t="shared" si="87"/>
        <v>101487939</v>
      </c>
      <c r="I180" s="82">
        <f t="shared" si="87"/>
        <v>0</v>
      </c>
      <c r="J180" s="59">
        <f t="shared" si="76"/>
        <v>1</v>
      </c>
    </row>
    <row r="181" spans="1:10" s="85" customFormat="1">
      <c r="A181" s="468"/>
      <c r="B181" s="98"/>
      <c r="C181" s="96" t="s">
        <v>182</v>
      </c>
      <c r="D181" s="83">
        <f>SUM(E181:F181)</f>
        <v>101487939</v>
      </c>
      <c r="E181" s="83">
        <v>101487939</v>
      </c>
      <c r="F181" s="84">
        <v>0</v>
      </c>
      <c r="G181" s="83">
        <f>SUM(H181:I181)</f>
        <v>101487939</v>
      </c>
      <c r="H181" s="83">
        <v>101487939</v>
      </c>
      <c r="I181" s="83">
        <v>0</v>
      </c>
      <c r="J181" s="63">
        <f t="shared" si="76"/>
        <v>1</v>
      </c>
    </row>
    <row r="182" spans="1:10" s="34" customFormat="1" ht="15">
      <c r="A182" s="468"/>
      <c r="B182" s="87">
        <v>75861</v>
      </c>
      <c r="C182" s="88" t="s">
        <v>189</v>
      </c>
      <c r="D182" s="100">
        <f t="shared" ref="D182:I182" si="88">SUM(D183:D185)</f>
        <v>203914283</v>
      </c>
      <c r="E182" s="100">
        <f t="shared" si="88"/>
        <v>23674254</v>
      </c>
      <c r="F182" s="100">
        <f t="shared" si="88"/>
        <v>180240029</v>
      </c>
      <c r="G182" s="100">
        <f t="shared" si="88"/>
        <v>153702016</v>
      </c>
      <c r="H182" s="100">
        <f t="shared" si="88"/>
        <v>19439914</v>
      </c>
      <c r="I182" s="100">
        <f t="shared" si="88"/>
        <v>134262102</v>
      </c>
      <c r="J182" s="59">
        <f t="shared" si="76"/>
        <v>0.7537579699603485</v>
      </c>
    </row>
    <row r="183" spans="1:10" s="34" customFormat="1" ht="38.25">
      <c r="A183" s="468"/>
      <c r="B183" s="465"/>
      <c r="C183" s="90" t="s">
        <v>190</v>
      </c>
      <c r="D183" s="95">
        <f>SUM(E183:F183)</f>
        <v>21500000</v>
      </c>
      <c r="E183" s="94">
        <v>20800000</v>
      </c>
      <c r="F183" s="94">
        <v>700000</v>
      </c>
      <c r="G183" s="95">
        <f>SUM(H183:I183)</f>
        <v>19056994</v>
      </c>
      <c r="H183" s="94">
        <v>18357440</v>
      </c>
      <c r="I183" s="94">
        <v>699554</v>
      </c>
      <c r="J183" s="63">
        <f t="shared" si="76"/>
        <v>0.88637181395348841</v>
      </c>
    </row>
    <row r="184" spans="1:10" ht="38.25">
      <c r="A184" s="468"/>
      <c r="B184" s="465"/>
      <c r="C184" s="90" t="s">
        <v>191</v>
      </c>
      <c r="D184" s="95">
        <f>SUM(E184:F184)</f>
        <v>98187209</v>
      </c>
      <c r="E184" s="95">
        <v>1856150</v>
      </c>
      <c r="F184" s="54">
        <v>96331059</v>
      </c>
      <c r="G184" s="95">
        <f>SUM(H184:I184)</f>
        <v>70510948</v>
      </c>
      <c r="H184" s="95">
        <v>374472</v>
      </c>
      <c r="I184" s="95">
        <v>70136476</v>
      </c>
      <c r="J184" s="63">
        <f t="shared" si="76"/>
        <v>0.71812763310137473</v>
      </c>
    </row>
    <row r="185" spans="1:10" ht="38.25">
      <c r="A185" s="468"/>
      <c r="B185" s="465"/>
      <c r="C185" s="90" t="s">
        <v>192</v>
      </c>
      <c r="D185" s="95">
        <f>SUM(E185:F185)</f>
        <v>84227074</v>
      </c>
      <c r="E185" s="94">
        <v>1018104</v>
      </c>
      <c r="F185" s="31">
        <v>83208970</v>
      </c>
      <c r="G185" s="95">
        <f>SUM(H185:I185)</f>
        <v>64134074</v>
      </c>
      <c r="H185" s="94">
        <v>708002</v>
      </c>
      <c r="I185" s="94">
        <v>63426072</v>
      </c>
      <c r="J185" s="63">
        <f t="shared" si="76"/>
        <v>0.7614425024428606</v>
      </c>
    </row>
    <row r="186" spans="1:10" s="62" customFormat="1" ht="15">
      <c r="A186" s="468"/>
      <c r="B186" s="80">
        <v>75862</v>
      </c>
      <c r="C186" s="81" t="s">
        <v>193</v>
      </c>
      <c r="D186" s="100">
        <f t="shared" ref="D186:I186" si="89">SUM(D187:D188)</f>
        <v>66280354</v>
      </c>
      <c r="E186" s="100">
        <f t="shared" si="89"/>
        <v>65584562</v>
      </c>
      <c r="F186" s="100">
        <f t="shared" si="89"/>
        <v>695792</v>
      </c>
      <c r="G186" s="100">
        <f t="shared" si="89"/>
        <v>54589858</v>
      </c>
      <c r="H186" s="100">
        <f t="shared" si="89"/>
        <v>54042686</v>
      </c>
      <c r="I186" s="100">
        <f t="shared" si="89"/>
        <v>547172</v>
      </c>
      <c r="J186" s="59">
        <f t="shared" si="76"/>
        <v>0.82362049544877203</v>
      </c>
    </row>
    <row r="187" spans="1:10" s="85" customFormat="1" ht="25.5">
      <c r="A187" s="468"/>
      <c r="B187" s="485"/>
      <c r="C187" s="101" t="s">
        <v>194</v>
      </c>
      <c r="D187" s="95">
        <f>SUM(E187:F187)</f>
        <v>34399098</v>
      </c>
      <c r="E187" s="95">
        <v>34203877</v>
      </c>
      <c r="F187" s="54">
        <v>195221</v>
      </c>
      <c r="G187" s="95">
        <f>SUM(H187:I187)</f>
        <v>24298673</v>
      </c>
      <c r="H187" s="95">
        <v>24252071</v>
      </c>
      <c r="I187" s="95">
        <v>46602</v>
      </c>
      <c r="J187" s="63">
        <f t="shared" si="76"/>
        <v>0.70637529507314412</v>
      </c>
    </row>
    <row r="188" spans="1:10" s="85" customFormat="1" ht="38.25">
      <c r="A188" s="468"/>
      <c r="B188" s="485"/>
      <c r="C188" s="101" t="s">
        <v>195</v>
      </c>
      <c r="D188" s="95">
        <f>SUM(E188:F188)</f>
        <v>31881256</v>
      </c>
      <c r="E188" s="95">
        <v>31380685</v>
      </c>
      <c r="F188" s="54">
        <v>500571</v>
      </c>
      <c r="G188" s="95">
        <f>SUM(H188:I188)</f>
        <v>30291185</v>
      </c>
      <c r="H188" s="102">
        <v>29790615</v>
      </c>
      <c r="I188" s="95">
        <v>500570</v>
      </c>
      <c r="J188" s="63">
        <f t="shared" si="76"/>
        <v>0.95012520836694769</v>
      </c>
    </row>
    <row r="189" spans="1:10" s="23" customFormat="1" ht="15.75">
      <c r="A189" s="91">
        <v>801</v>
      </c>
      <c r="B189" s="91"/>
      <c r="C189" s="92" t="s">
        <v>196</v>
      </c>
      <c r="D189" s="103">
        <f>SUM(D190,D193,D197,D200,D206,D209,)</f>
        <v>2334613</v>
      </c>
      <c r="E189" s="103">
        <f t="shared" ref="E189:I189" si="90">SUM(E190,E193,E197,E200,E206,E209,)</f>
        <v>1194454</v>
      </c>
      <c r="F189" s="103">
        <f t="shared" si="90"/>
        <v>1140159</v>
      </c>
      <c r="G189" s="103">
        <f t="shared" si="90"/>
        <v>1941747</v>
      </c>
      <c r="H189" s="103">
        <f t="shared" si="90"/>
        <v>1072550</v>
      </c>
      <c r="I189" s="103">
        <f t="shared" si="90"/>
        <v>869197</v>
      </c>
      <c r="J189" s="22">
        <f t="shared" si="76"/>
        <v>0.83172114607431724</v>
      </c>
    </row>
    <row r="190" spans="1:10" s="34" customFormat="1" ht="15">
      <c r="A190" s="466"/>
      <c r="B190" s="87">
        <v>80102</v>
      </c>
      <c r="C190" s="88" t="s">
        <v>197</v>
      </c>
      <c r="D190" s="104">
        <f>SUM(D191:D192)</f>
        <v>3366</v>
      </c>
      <c r="E190" s="104">
        <f t="shared" ref="E190:I190" si="91">SUM(E191:E192)</f>
        <v>3366</v>
      </c>
      <c r="F190" s="104">
        <f t="shared" si="91"/>
        <v>0</v>
      </c>
      <c r="G190" s="104">
        <f t="shared" si="91"/>
        <v>3825</v>
      </c>
      <c r="H190" s="104">
        <f t="shared" si="91"/>
        <v>3825</v>
      </c>
      <c r="I190" s="104">
        <f t="shared" si="91"/>
        <v>0</v>
      </c>
      <c r="J190" s="27">
        <f t="shared" si="76"/>
        <v>1.1363636363636365</v>
      </c>
    </row>
    <row r="191" spans="1:10" ht="14.25" customHeight="1">
      <c r="A191" s="477"/>
      <c r="B191" s="461"/>
      <c r="C191" s="49" t="s">
        <v>198</v>
      </c>
      <c r="D191" s="94">
        <f>SUM(E191:F191)</f>
        <v>1045</v>
      </c>
      <c r="E191" s="94">
        <v>1045</v>
      </c>
      <c r="F191" s="31">
        <v>0</v>
      </c>
      <c r="G191" s="94">
        <f>SUM(H191:I191)</f>
        <v>1497</v>
      </c>
      <c r="H191" s="94">
        <v>1497</v>
      </c>
      <c r="I191" s="94">
        <v>0</v>
      </c>
      <c r="J191" s="32">
        <f t="shared" si="76"/>
        <v>1.4325358851674641</v>
      </c>
    </row>
    <row r="192" spans="1:10" ht="38.25">
      <c r="A192" s="477"/>
      <c r="B192" s="472"/>
      <c r="C192" s="49" t="s">
        <v>199</v>
      </c>
      <c r="D192" s="94">
        <f>SUM(E192:F192)</f>
        <v>2321</v>
      </c>
      <c r="E192" s="94">
        <v>2321</v>
      </c>
      <c r="F192" s="31">
        <v>0</v>
      </c>
      <c r="G192" s="94">
        <f>SUM(H192:I192)</f>
        <v>2328</v>
      </c>
      <c r="H192" s="94">
        <v>2328</v>
      </c>
      <c r="I192" s="94">
        <v>0</v>
      </c>
      <c r="J192" s="32">
        <f t="shared" si="76"/>
        <v>1.003015941404567</v>
      </c>
    </row>
    <row r="193" spans="1:11" s="34" customFormat="1" ht="15">
      <c r="A193" s="477"/>
      <c r="B193" s="87">
        <v>80130</v>
      </c>
      <c r="C193" s="105" t="s">
        <v>200</v>
      </c>
      <c r="D193" s="104">
        <f>SUM(D194:D196)</f>
        <v>1148631</v>
      </c>
      <c r="E193" s="104">
        <f t="shared" ref="E193:I193" si="92">SUM(E194:E196)</f>
        <v>8472</v>
      </c>
      <c r="F193" s="104">
        <f t="shared" si="92"/>
        <v>1140159</v>
      </c>
      <c r="G193" s="104">
        <f t="shared" si="92"/>
        <v>875541</v>
      </c>
      <c r="H193" s="104">
        <f t="shared" si="92"/>
        <v>6589</v>
      </c>
      <c r="I193" s="104">
        <f t="shared" si="92"/>
        <v>868952</v>
      </c>
      <c r="J193" s="27">
        <f t="shared" si="76"/>
        <v>0.76224740582484718</v>
      </c>
    </row>
    <row r="194" spans="1:11" ht="14.25" customHeight="1">
      <c r="A194" s="477"/>
      <c r="B194" s="473"/>
      <c r="C194" s="49" t="s">
        <v>198</v>
      </c>
      <c r="D194" s="94">
        <f>SUM(E194:F194)</f>
        <v>9990</v>
      </c>
      <c r="E194" s="94">
        <f>500+7490</f>
        <v>7990</v>
      </c>
      <c r="F194" s="31">
        <v>2000</v>
      </c>
      <c r="G194" s="94">
        <f>SUM(H194:I194)</f>
        <v>7780</v>
      </c>
      <c r="H194" s="94">
        <f>209+5647</f>
        <v>5856</v>
      </c>
      <c r="I194" s="94">
        <v>1924</v>
      </c>
      <c r="J194" s="32">
        <f t="shared" si="76"/>
        <v>0.77877877877877877</v>
      </c>
    </row>
    <row r="195" spans="1:11" ht="38.25">
      <c r="A195" s="477"/>
      <c r="B195" s="473"/>
      <c r="C195" s="49" t="s">
        <v>199</v>
      </c>
      <c r="D195" s="94">
        <f>SUM(E195:F195)</f>
        <v>482</v>
      </c>
      <c r="E195" s="94">
        <v>482</v>
      </c>
      <c r="F195" s="31">
        <v>0</v>
      </c>
      <c r="G195" s="94">
        <f>SUM(H195:I195)</f>
        <v>733</v>
      </c>
      <c r="H195" s="94">
        <v>733</v>
      </c>
      <c r="I195" s="94">
        <v>0</v>
      </c>
      <c r="J195" s="32">
        <f t="shared" si="76"/>
        <v>1.5207468879668049</v>
      </c>
    </row>
    <row r="196" spans="1:11" ht="51">
      <c r="A196" s="477"/>
      <c r="B196" s="473"/>
      <c r="C196" s="70" t="s">
        <v>201</v>
      </c>
      <c r="D196" s="94">
        <f>SUM(E196:F196)</f>
        <v>1138159</v>
      </c>
      <c r="E196" s="94">
        <v>0</v>
      </c>
      <c r="F196" s="31">
        <v>1138159</v>
      </c>
      <c r="G196" s="94">
        <f>SUM(H196:I196)</f>
        <v>867028</v>
      </c>
      <c r="H196" s="94">
        <v>0</v>
      </c>
      <c r="I196" s="94">
        <v>867028</v>
      </c>
      <c r="J196" s="32">
        <f t="shared" si="76"/>
        <v>0.76178108682530299</v>
      </c>
    </row>
    <row r="197" spans="1:11" s="34" customFormat="1" ht="15">
      <c r="A197" s="477"/>
      <c r="B197" s="87">
        <v>80141</v>
      </c>
      <c r="C197" s="105" t="s">
        <v>202</v>
      </c>
      <c r="D197" s="104">
        <f>SUM(D198:D199)</f>
        <v>46343</v>
      </c>
      <c r="E197" s="104">
        <f t="shared" ref="E197:I197" si="93">SUM(E198:E199)</f>
        <v>46343</v>
      </c>
      <c r="F197" s="104">
        <f t="shared" si="93"/>
        <v>0</v>
      </c>
      <c r="G197" s="100">
        <f t="shared" si="93"/>
        <v>48331</v>
      </c>
      <c r="H197" s="104">
        <f t="shared" si="93"/>
        <v>48331</v>
      </c>
      <c r="I197" s="104">
        <f t="shared" si="93"/>
        <v>0</v>
      </c>
      <c r="J197" s="32">
        <f t="shared" si="76"/>
        <v>1.0428975249768033</v>
      </c>
    </row>
    <row r="198" spans="1:11" ht="14.25" customHeight="1">
      <c r="A198" s="477"/>
      <c r="B198" s="461"/>
      <c r="C198" s="49" t="s">
        <v>198</v>
      </c>
      <c r="D198" s="94">
        <f>SUM(E198:F198)</f>
        <v>8638</v>
      </c>
      <c r="E198" s="94">
        <v>8638</v>
      </c>
      <c r="F198" s="31">
        <v>0</v>
      </c>
      <c r="G198" s="94">
        <f>SUM(H198:I198)</f>
        <v>10149</v>
      </c>
      <c r="H198" s="94">
        <v>10149</v>
      </c>
      <c r="I198" s="94">
        <v>0</v>
      </c>
      <c r="J198" s="32">
        <f t="shared" si="76"/>
        <v>1.1749247510997916</v>
      </c>
    </row>
    <row r="199" spans="1:11" ht="38.25">
      <c r="A199" s="477"/>
      <c r="B199" s="472"/>
      <c r="C199" s="49" t="s">
        <v>199</v>
      </c>
      <c r="D199" s="94">
        <f>SUM(E199:F199)</f>
        <v>37705</v>
      </c>
      <c r="E199" s="94">
        <v>37705</v>
      </c>
      <c r="F199" s="31">
        <v>0</v>
      </c>
      <c r="G199" s="94">
        <f>SUM(H199:I199)</f>
        <v>38182</v>
      </c>
      <c r="H199" s="94">
        <v>38182</v>
      </c>
      <c r="I199" s="94">
        <v>0</v>
      </c>
      <c r="J199" s="32">
        <f t="shared" si="76"/>
        <v>1.0126508420633868</v>
      </c>
    </row>
    <row r="200" spans="1:11" s="34" customFormat="1" ht="15">
      <c r="A200" s="477"/>
      <c r="B200" s="87">
        <v>80146</v>
      </c>
      <c r="C200" s="105" t="s">
        <v>203</v>
      </c>
      <c r="D200" s="100">
        <f>SUM(D201:D205)</f>
        <v>1050331</v>
      </c>
      <c r="E200" s="100">
        <f t="shared" ref="E200:I200" si="94">SUM(E201:E205)</f>
        <v>1050331</v>
      </c>
      <c r="F200" s="100">
        <f t="shared" si="94"/>
        <v>0</v>
      </c>
      <c r="G200" s="100">
        <f t="shared" si="94"/>
        <v>926679</v>
      </c>
      <c r="H200" s="100">
        <f t="shared" si="94"/>
        <v>926469</v>
      </c>
      <c r="I200" s="100">
        <f t="shared" si="94"/>
        <v>210</v>
      </c>
      <c r="J200" s="27">
        <f t="shared" si="76"/>
        <v>0.88227330241609547</v>
      </c>
    </row>
    <row r="201" spans="1:11" ht="51">
      <c r="A201" s="477"/>
      <c r="B201" s="473"/>
      <c r="C201" s="106" t="s">
        <v>204</v>
      </c>
      <c r="D201" s="94">
        <f t="shared" ref="D201:D205" si="95">SUM(E201:F201)</f>
        <v>140302</v>
      </c>
      <c r="E201" s="94">
        <v>140302</v>
      </c>
      <c r="F201" s="31">
        <v>0</v>
      </c>
      <c r="G201" s="94">
        <f t="shared" ref="G201:G205" si="96">SUM(H201:I201)</f>
        <v>140301</v>
      </c>
      <c r="H201" s="107">
        <v>140301</v>
      </c>
      <c r="I201" s="94">
        <v>0</v>
      </c>
      <c r="J201" s="32">
        <f t="shared" si="76"/>
        <v>0.99999287251785429</v>
      </c>
      <c r="K201" s="108"/>
    </row>
    <row r="202" spans="1:11" ht="53.25" customHeight="1">
      <c r="A202" s="477"/>
      <c r="B202" s="473"/>
      <c r="C202" s="109" t="s">
        <v>205</v>
      </c>
      <c r="D202" s="94">
        <f t="shared" si="95"/>
        <v>24759</v>
      </c>
      <c r="E202" s="94">
        <v>24759</v>
      </c>
      <c r="F202" s="31">
        <v>0</v>
      </c>
      <c r="G202" s="94">
        <f t="shared" si="96"/>
        <v>24758</v>
      </c>
      <c r="H202" s="107">
        <v>24758</v>
      </c>
      <c r="I202" s="94">
        <v>0</v>
      </c>
      <c r="J202" s="32">
        <f t="shared" si="76"/>
        <v>0.99995961064663352</v>
      </c>
    </row>
    <row r="203" spans="1:11" ht="38.25">
      <c r="A203" s="477"/>
      <c r="B203" s="473"/>
      <c r="C203" s="49" t="s">
        <v>206</v>
      </c>
      <c r="D203" s="94">
        <f t="shared" si="95"/>
        <v>41580</v>
      </c>
      <c r="E203" s="94">
        <v>41580</v>
      </c>
      <c r="F203" s="31">
        <v>0</v>
      </c>
      <c r="G203" s="94">
        <f t="shared" si="96"/>
        <v>0</v>
      </c>
      <c r="H203" s="94">
        <v>0</v>
      </c>
      <c r="I203" s="94">
        <v>0</v>
      </c>
      <c r="J203" s="32">
        <f t="shared" si="76"/>
        <v>0</v>
      </c>
    </row>
    <row r="204" spans="1:11" ht="38.25">
      <c r="A204" s="477"/>
      <c r="B204" s="473"/>
      <c r="C204" s="49" t="s">
        <v>199</v>
      </c>
      <c r="D204" s="94">
        <f t="shared" si="95"/>
        <v>513690</v>
      </c>
      <c r="E204" s="94">
        <v>513690</v>
      </c>
      <c r="F204" s="31">
        <v>0</v>
      </c>
      <c r="G204" s="94">
        <f t="shared" si="96"/>
        <v>513691</v>
      </c>
      <c r="H204" s="94">
        <v>513691</v>
      </c>
      <c r="I204" s="94">
        <v>0</v>
      </c>
      <c r="J204" s="32">
        <f t="shared" si="76"/>
        <v>1.0000019466993713</v>
      </c>
    </row>
    <row r="205" spans="1:11" ht="25.5">
      <c r="A205" s="477"/>
      <c r="B205" s="473"/>
      <c r="C205" s="49" t="s">
        <v>207</v>
      </c>
      <c r="D205" s="94">
        <f t="shared" si="95"/>
        <v>330000</v>
      </c>
      <c r="E205" s="94">
        <v>330000</v>
      </c>
      <c r="F205" s="31">
        <v>0</v>
      </c>
      <c r="G205" s="94">
        <f t="shared" si="96"/>
        <v>247929</v>
      </c>
      <c r="H205" s="94">
        <f>242920+635+4164</f>
        <v>247719</v>
      </c>
      <c r="I205" s="94">
        <v>210</v>
      </c>
      <c r="J205" s="32">
        <f t="shared" si="76"/>
        <v>0.75129999999999997</v>
      </c>
    </row>
    <row r="206" spans="1:11" s="34" customFormat="1" ht="15">
      <c r="A206" s="477"/>
      <c r="B206" s="87">
        <v>80147</v>
      </c>
      <c r="C206" s="105" t="s">
        <v>208</v>
      </c>
      <c r="D206" s="104">
        <f t="shared" ref="D206:I206" si="97">SUM(D207:D208)</f>
        <v>42926</v>
      </c>
      <c r="E206" s="104">
        <f t="shared" si="97"/>
        <v>42926</v>
      </c>
      <c r="F206" s="104">
        <f t="shared" si="97"/>
        <v>0</v>
      </c>
      <c r="G206" s="104">
        <f t="shared" si="97"/>
        <v>38640</v>
      </c>
      <c r="H206" s="104">
        <f t="shared" si="97"/>
        <v>38605</v>
      </c>
      <c r="I206" s="104">
        <f t="shared" si="97"/>
        <v>35</v>
      </c>
      <c r="J206" s="27">
        <f t="shared" si="76"/>
        <v>0.90015375297022782</v>
      </c>
    </row>
    <row r="207" spans="1:11" ht="14.25" customHeight="1">
      <c r="A207" s="477"/>
      <c r="B207" s="473"/>
      <c r="C207" s="49" t="s">
        <v>198</v>
      </c>
      <c r="D207" s="94">
        <f>SUM(E207:F207)</f>
        <v>40155</v>
      </c>
      <c r="E207" s="94">
        <f>840+7600+31715</f>
        <v>40155</v>
      </c>
      <c r="F207" s="31">
        <v>0</v>
      </c>
      <c r="G207" s="94">
        <f>SUM(H207:I207)</f>
        <v>35860</v>
      </c>
      <c r="H207" s="94">
        <f>910+5928+28987</f>
        <v>35825</v>
      </c>
      <c r="I207" s="94">
        <v>35</v>
      </c>
      <c r="J207" s="32">
        <f t="shared" si="76"/>
        <v>0.89303947204582246</v>
      </c>
    </row>
    <row r="208" spans="1:11" ht="38.25">
      <c r="A208" s="477"/>
      <c r="B208" s="473"/>
      <c r="C208" s="49" t="s">
        <v>199</v>
      </c>
      <c r="D208" s="94">
        <f>SUM(E208:F208)</f>
        <v>2771</v>
      </c>
      <c r="E208" s="94">
        <v>2771</v>
      </c>
      <c r="F208" s="31">
        <v>0</v>
      </c>
      <c r="G208" s="94">
        <f>SUM(H208:I208)</f>
        <v>2780</v>
      </c>
      <c r="H208" s="94">
        <v>2780</v>
      </c>
      <c r="I208" s="94">
        <v>0</v>
      </c>
      <c r="J208" s="32">
        <f t="shared" si="76"/>
        <v>1.003247924936846</v>
      </c>
    </row>
    <row r="209" spans="1:10" s="34" customFormat="1" ht="15">
      <c r="A209" s="477"/>
      <c r="B209" s="87">
        <v>80195</v>
      </c>
      <c r="C209" s="105" t="s">
        <v>22</v>
      </c>
      <c r="D209" s="100">
        <f>SUM(D210:D214)</f>
        <v>43016</v>
      </c>
      <c r="E209" s="100">
        <f t="shared" ref="E209:I209" si="98">SUM(E210:E214)</f>
        <v>43016</v>
      </c>
      <c r="F209" s="100">
        <f t="shared" si="98"/>
        <v>0</v>
      </c>
      <c r="G209" s="100">
        <f t="shared" si="98"/>
        <v>48731</v>
      </c>
      <c r="H209" s="100">
        <f t="shared" si="98"/>
        <v>48731</v>
      </c>
      <c r="I209" s="100">
        <f t="shared" si="98"/>
        <v>0</v>
      </c>
      <c r="J209" s="27">
        <f t="shared" si="76"/>
        <v>1.1328575413799515</v>
      </c>
    </row>
    <row r="210" spans="1:10" ht="51">
      <c r="A210" s="477"/>
      <c r="B210" s="461"/>
      <c r="C210" s="49" t="s">
        <v>86</v>
      </c>
      <c r="D210" s="94">
        <f>SUM(E210:F210)</f>
        <v>37882</v>
      </c>
      <c r="E210" s="94">
        <v>37882</v>
      </c>
      <c r="F210" s="31">
        <v>0</v>
      </c>
      <c r="G210" s="94">
        <f>SUM(H210:I210)</f>
        <v>42357</v>
      </c>
      <c r="H210" s="107">
        <f>39885+2472</f>
        <v>42357</v>
      </c>
      <c r="I210" s="94">
        <v>0</v>
      </c>
      <c r="J210" s="32">
        <f t="shared" si="76"/>
        <v>1.1181299825774775</v>
      </c>
    </row>
    <row r="211" spans="1:10" ht="51">
      <c r="A211" s="477"/>
      <c r="B211" s="463"/>
      <c r="C211" s="49" t="s">
        <v>443</v>
      </c>
      <c r="D211" s="94">
        <f>SUM(E211:F211)</f>
        <v>1272</v>
      </c>
      <c r="E211" s="94">
        <v>1272</v>
      </c>
      <c r="F211" s="31">
        <v>0</v>
      </c>
      <c r="G211" s="94">
        <f>SUM(H211:I211)</f>
        <v>3004</v>
      </c>
      <c r="H211" s="94">
        <v>3004</v>
      </c>
      <c r="I211" s="94">
        <v>0</v>
      </c>
      <c r="J211" s="32">
        <f t="shared" si="76"/>
        <v>2.3616352201257862</v>
      </c>
    </row>
    <row r="212" spans="1:10" ht="25.5">
      <c r="A212" s="477"/>
      <c r="B212" s="463"/>
      <c r="C212" s="49" t="s">
        <v>392</v>
      </c>
      <c r="D212" s="94">
        <f>SUM(E212:F212)</f>
        <v>3564</v>
      </c>
      <c r="E212" s="94">
        <v>3564</v>
      </c>
      <c r="F212" s="31">
        <v>0</v>
      </c>
      <c r="G212" s="94">
        <f>SUM(H212:I212)</f>
        <v>3072</v>
      </c>
      <c r="H212" s="94">
        <v>3072</v>
      </c>
      <c r="I212" s="94">
        <v>0</v>
      </c>
      <c r="J212" s="32">
        <f t="shared" ref="J212:J214" si="99">G212/D212</f>
        <v>0.86195286195286192</v>
      </c>
    </row>
    <row r="213" spans="1:10" ht="25.5">
      <c r="A213" s="477"/>
      <c r="B213" s="463"/>
      <c r="C213" s="49" t="s">
        <v>89</v>
      </c>
      <c r="D213" s="94">
        <f>SUM(E213:F213)</f>
        <v>14</v>
      </c>
      <c r="E213" s="94">
        <v>14</v>
      </c>
      <c r="F213" s="31">
        <v>0</v>
      </c>
      <c r="G213" s="94">
        <f>SUM(H213:I213)</f>
        <v>15</v>
      </c>
      <c r="H213" s="94">
        <v>15</v>
      </c>
      <c r="I213" s="94">
        <v>0</v>
      </c>
      <c r="J213" s="32">
        <f t="shared" si="99"/>
        <v>1.0714285714285714</v>
      </c>
    </row>
    <row r="214" spans="1:10" ht="51">
      <c r="A214" s="478"/>
      <c r="B214" s="462"/>
      <c r="C214" s="49" t="s">
        <v>393</v>
      </c>
      <c r="D214" s="94">
        <f>SUM(E214:F214)</f>
        <v>284</v>
      </c>
      <c r="E214" s="94">
        <v>284</v>
      </c>
      <c r="F214" s="31">
        <v>0</v>
      </c>
      <c r="G214" s="94">
        <f>SUM(H214:I214)</f>
        <v>283</v>
      </c>
      <c r="H214" s="94">
        <v>283</v>
      </c>
      <c r="I214" s="94">
        <v>0</v>
      </c>
      <c r="J214" s="32">
        <f t="shared" si="99"/>
        <v>0.99647887323943662</v>
      </c>
    </row>
    <row r="215" spans="1:10" s="23" customFormat="1" ht="15.75">
      <c r="A215" s="91">
        <v>803</v>
      </c>
      <c r="B215" s="91"/>
      <c r="C215" s="110" t="s">
        <v>209</v>
      </c>
      <c r="D215" s="103">
        <f t="shared" ref="D215:I215" si="100">SUM(D216)</f>
        <v>38699</v>
      </c>
      <c r="E215" s="103">
        <f t="shared" si="100"/>
        <v>38699</v>
      </c>
      <c r="F215" s="103">
        <f t="shared" si="100"/>
        <v>0</v>
      </c>
      <c r="G215" s="103">
        <f t="shared" si="100"/>
        <v>41836</v>
      </c>
      <c r="H215" s="103">
        <f t="shared" si="100"/>
        <v>41836</v>
      </c>
      <c r="I215" s="103">
        <f t="shared" si="100"/>
        <v>0</v>
      </c>
      <c r="J215" s="22">
        <f t="shared" si="76"/>
        <v>1.0810615261376264</v>
      </c>
    </row>
    <row r="216" spans="1:10" s="34" customFormat="1" ht="15">
      <c r="A216" s="466"/>
      <c r="B216" s="87">
        <v>80309</v>
      </c>
      <c r="C216" s="105" t="s">
        <v>210</v>
      </c>
      <c r="D216" s="104">
        <f>SUM(D217:D218)</f>
        <v>38699</v>
      </c>
      <c r="E216" s="104">
        <f t="shared" ref="E216:I216" si="101">SUM(E217:E218)</f>
        <v>38699</v>
      </c>
      <c r="F216" s="104">
        <f t="shared" si="101"/>
        <v>0</v>
      </c>
      <c r="G216" s="104">
        <f t="shared" si="101"/>
        <v>41836</v>
      </c>
      <c r="H216" s="104">
        <f t="shared" si="101"/>
        <v>41836</v>
      </c>
      <c r="I216" s="104">
        <f t="shared" si="101"/>
        <v>0</v>
      </c>
      <c r="J216" s="32">
        <f t="shared" si="76"/>
        <v>1.0810615261376264</v>
      </c>
    </row>
    <row r="217" spans="1:10" ht="38.25">
      <c r="A217" s="477"/>
      <c r="B217" s="461"/>
      <c r="C217" s="111" t="s">
        <v>211</v>
      </c>
      <c r="D217" s="94">
        <f>SUM(E217:F217)</f>
        <v>37740</v>
      </c>
      <c r="E217" s="94">
        <f>34680+3060</f>
        <v>37740</v>
      </c>
      <c r="F217" s="94">
        <v>0</v>
      </c>
      <c r="G217" s="94">
        <f>SUM(H217:I217)</f>
        <v>40800</v>
      </c>
      <c r="H217" s="94">
        <f>34680+6120</f>
        <v>40800</v>
      </c>
      <c r="I217" s="94">
        <v>0</v>
      </c>
      <c r="J217" s="32">
        <f t="shared" si="76"/>
        <v>1.0810810810810811</v>
      </c>
    </row>
    <row r="218" spans="1:10" ht="38.25">
      <c r="A218" s="467"/>
      <c r="B218" s="472"/>
      <c r="C218" s="111" t="s">
        <v>451</v>
      </c>
      <c r="D218" s="94">
        <f>SUM(E218:F218)</f>
        <v>959</v>
      </c>
      <c r="E218" s="94">
        <v>959</v>
      </c>
      <c r="F218" s="94">
        <v>0</v>
      </c>
      <c r="G218" s="94">
        <f>SUM(H218:I218)</f>
        <v>1036</v>
      </c>
      <c r="H218" s="94">
        <v>1036</v>
      </c>
      <c r="I218" s="94">
        <v>0</v>
      </c>
      <c r="J218" s="32">
        <f t="shared" si="76"/>
        <v>1.0802919708029197</v>
      </c>
    </row>
    <row r="219" spans="1:10" s="23" customFormat="1" ht="15.75">
      <c r="A219" s="91">
        <v>851</v>
      </c>
      <c r="B219" s="91"/>
      <c r="C219" s="110" t="s">
        <v>212</v>
      </c>
      <c r="D219" s="103">
        <f>SUM(D220,D224,D226,D228,D230,D233)</f>
        <v>405883</v>
      </c>
      <c r="E219" s="103">
        <f t="shared" ref="E219:I219" si="102">SUM(E220,E224,E226,E228,E230,E233)</f>
        <v>35332</v>
      </c>
      <c r="F219" s="103">
        <f t="shared" si="102"/>
        <v>370551</v>
      </c>
      <c r="G219" s="103">
        <f t="shared" si="102"/>
        <v>415831</v>
      </c>
      <c r="H219" s="103">
        <f t="shared" si="102"/>
        <v>43469</v>
      </c>
      <c r="I219" s="103">
        <f t="shared" si="102"/>
        <v>372362</v>
      </c>
      <c r="J219" s="22">
        <f t="shared" si="76"/>
        <v>1.0245095261442336</v>
      </c>
    </row>
    <row r="220" spans="1:10" s="34" customFormat="1" ht="15">
      <c r="A220" s="479"/>
      <c r="B220" s="87">
        <v>85111</v>
      </c>
      <c r="C220" s="105" t="s">
        <v>213</v>
      </c>
      <c r="D220" s="104">
        <f>SUM(D221:D223)</f>
        <v>214563</v>
      </c>
      <c r="E220" s="104">
        <f>SUM(E221:E223)</f>
        <v>84</v>
      </c>
      <c r="F220" s="104">
        <f t="shared" ref="F220:I220" si="103">SUM(F221:F223)</f>
        <v>214479</v>
      </c>
      <c r="G220" s="104">
        <f t="shared" si="103"/>
        <v>215238</v>
      </c>
      <c r="H220" s="104">
        <f t="shared" si="103"/>
        <v>160</v>
      </c>
      <c r="I220" s="104">
        <f t="shared" si="103"/>
        <v>215078</v>
      </c>
      <c r="J220" s="318">
        <f t="shared" si="76"/>
        <v>1.003145929167657</v>
      </c>
    </row>
    <row r="221" spans="1:10" ht="38.25">
      <c r="A221" s="480"/>
      <c r="B221" s="461"/>
      <c r="C221" s="49" t="s">
        <v>214</v>
      </c>
      <c r="D221" s="94">
        <f>SUM(E221:F221)</f>
        <v>3836</v>
      </c>
      <c r="E221" s="94">
        <v>84</v>
      </c>
      <c r="F221" s="94">
        <v>3752</v>
      </c>
      <c r="G221" s="94">
        <f>SUM(H221:I221)</f>
        <v>4435</v>
      </c>
      <c r="H221" s="94">
        <v>84</v>
      </c>
      <c r="I221" s="94">
        <v>4351</v>
      </c>
      <c r="J221" s="63">
        <f t="shared" si="76"/>
        <v>1.1561522419186652</v>
      </c>
    </row>
    <row r="222" spans="1:10" ht="63.75">
      <c r="A222" s="480"/>
      <c r="B222" s="463"/>
      <c r="C222" s="49" t="s">
        <v>382</v>
      </c>
      <c r="D222" s="94">
        <f>SUM(E222:F222)</f>
        <v>210727</v>
      </c>
      <c r="E222" s="94">
        <v>0</v>
      </c>
      <c r="F222" s="94">
        <v>210727</v>
      </c>
      <c r="G222" s="94">
        <f>SUM(H222:I222)</f>
        <v>210727</v>
      </c>
      <c r="H222" s="94">
        <v>0</v>
      </c>
      <c r="I222" s="94">
        <v>210727</v>
      </c>
      <c r="J222" s="63">
        <f t="shared" ref="J222" si="104">G222/D222</f>
        <v>1</v>
      </c>
    </row>
    <row r="223" spans="1:10" ht="38.25">
      <c r="A223" s="480"/>
      <c r="B223" s="462"/>
      <c r="C223" s="49" t="s">
        <v>266</v>
      </c>
      <c r="D223" s="94">
        <f>SUM(E223:F223)</f>
        <v>0</v>
      </c>
      <c r="E223" s="94">
        <v>0</v>
      </c>
      <c r="F223" s="94">
        <v>0</v>
      </c>
      <c r="G223" s="94">
        <f>SUM(H223:I223)</f>
        <v>76</v>
      </c>
      <c r="H223" s="94">
        <v>76</v>
      </c>
      <c r="I223" s="94">
        <v>0</v>
      </c>
      <c r="J223" s="63"/>
    </row>
    <row r="224" spans="1:10" s="34" customFormat="1" ht="15">
      <c r="A224" s="480"/>
      <c r="B224" s="87">
        <v>85120</v>
      </c>
      <c r="C224" s="105" t="s">
        <v>215</v>
      </c>
      <c r="D224" s="104">
        <f t="shared" ref="D224:I226" si="105">SUM(D225:D225)</f>
        <v>0</v>
      </c>
      <c r="E224" s="104">
        <f t="shared" si="105"/>
        <v>0</v>
      </c>
      <c r="F224" s="104">
        <f t="shared" si="105"/>
        <v>0</v>
      </c>
      <c r="G224" s="104">
        <f t="shared" si="105"/>
        <v>2491</v>
      </c>
      <c r="H224" s="104">
        <f t="shared" si="105"/>
        <v>1279</v>
      </c>
      <c r="I224" s="104">
        <f t="shared" si="105"/>
        <v>1212</v>
      </c>
      <c r="J224" s="63"/>
    </row>
    <row r="225" spans="1:10" ht="38.25">
      <c r="A225" s="480"/>
      <c r="B225" s="112"/>
      <c r="C225" s="49" t="s">
        <v>214</v>
      </c>
      <c r="D225" s="94">
        <f>SUM(E225:F225)</f>
        <v>0</v>
      </c>
      <c r="E225" s="94">
        <v>0</v>
      </c>
      <c r="F225" s="94">
        <v>0</v>
      </c>
      <c r="G225" s="94">
        <f>SUM(H225:I225)</f>
        <v>2491</v>
      </c>
      <c r="H225" s="94">
        <v>1279</v>
      </c>
      <c r="I225" s="94">
        <v>1212</v>
      </c>
      <c r="J225" s="63"/>
    </row>
    <row r="226" spans="1:10" s="34" customFormat="1" ht="15">
      <c r="A226" s="480"/>
      <c r="B226" s="87">
        <v>85121</v>
      </c>
      <c r="C226" s="105" t="s">
        <v>216</v>
      </c>
      <c r="D226" s="104">
        <f t="shared" si="105"/>
        <v>0</v>
      </c>
      <c r="E226" s="104">
        <f t="shared" si="105"/>
        <v>0</v>
      </c>
      <c r="F226" s="104">
        <f t="shared" si="105"/>
        <v>0</v>
      </c>
      <c r="G226" s="104">
        <f t="shared" si="105"/>
        <v>571</v>
      </c>
      <c r="H226" s="104">
        <f t="shared" si="105"/>
        <v>571</v>
      </c>
      <c r="I226" s="104">
        <f t="shared" si="105"/>
        <v>0</v>
      </c>
      <c r="J226" s="63"/>
    </row>
    <row r="227" spans="1:10" ht="38.25">
      <c r="A227" s="480"/>
      <c r="B227" s="112"/>
      <c r="C227" s="49" t="s">
        <v>214</v>
      </c>
      <c r="D227" s="94">
        <f>SUM(E227:F227)</f>
        <v>0</v>
      </c>
      <c r="E227" s="94">
        <v>0</v>
      </c>
      <c r="F227" s="94">
        <v>0</v>
      </c>
      <c r="G227" s="94">
        <f>SUM(H227:I227)</f>
        <v>571</v>
      </c>
      <c r="H227" s="94">
        <v>571</v>
      </c>
      <c r="I227" s="94">
        <v>0</v>
      </c>
      <c r="J227" s="63"/>
    </row>
    <row r="228" spans="1:10" s="34" customFormat="1" ht="15">
      <c r="A228" s="480"/>
      <c r="B228" s="87">
        <v>85141</v>
      </c>
      <c r="C228" s="105" t="s">
        <v>25</v>
      </c>
      <c r="D228" s="104">
        <f t="shared" ref="D228:I228" si="106">SUM(D229)</f>
        <v>156072</v>
      </c>
      <c r="E228" s="104">
        <f t="shared" si="106"/>
        <v>0</v>
      </c>
      <c r="F228" s="104">
        <f t="shared" si="106"/>
        <v>156072</v>
      </c>
      <c r="G228" s="104">
        <f t="shared" si="106"/>
        <v>156072</v>
      </c>
      <c r="H228" s="104">
        <f t="shared" si="106"/>
        <v>0</v>
      </c>
      <c r="I228" s="104">
        <f t="shared" si="106"/>
        <v>156072</v>
      </c>
      <c r="J228" s="27">
        <f t="shared" ref="J228:J229" si="107">G228/D228</f>
        <v>1</v>
      </c>
    </row>
    <row r="229" spans="1:10" ht="51">
      <c r="A229" s="480"/>
      <c r="B229" s="18"/>
      <c r="C229" s="36" t="s">
        <v>383</v>
      </c>
      <c r="D229" s="94">
        <f>SUM(E229:F229)</f>
        <v>156072</v>
      </c>
      <c r="E229" s="94">
        <v>0</v>
      </c>
      <c r="F229" s="94">
        <v>156072</v>
      </c>
      <c r="G229" s="94">
        <f>SUM(H229:I229)</f>
        <v>156072</v>
      </c>
      <c r="H229" s="94">
        <v>0</v>
      </c>
      <c r="I229" s="94">
        <v>156072</v>
      </c>
      <c r="J229" s="32">
        <f t="shared" si="107"/>
        <v>1</v>
      </c>
    </row>
    <row r="230" spans="1:10" s="34" customFormat="1" ht="15">
      <c r="A230" s="480"/>
      <c r="B230" s="87">
        <v>85154</v>
      </c>
      <c r="C230" s="105" t="s">
        <v>217</v>
      </c>
      <c r="D230" s="104">
        <f t="shared" ref="D230:I230" si="108">SUM(D231:D232)</f>
        <v>0</v>
      </c>
      <c r="E230" s="104">
        <f t="shared" si="108"/>
        <v>0</v>
      </c>
      <c r="F230" s="104">
        <f t="shared" si="108"/>
        <v>0</v>
      </c>
      <c r="G230" s="104">
        <f t="shared" si="108"/>
        <v>6640</v>
      </c>
      <c r="H230" s="104">
        <f t="shared" si="108"/>
        <v>6640</v>
      </c>
      <c r="I230" s="104">
        <f t="shared" si="108"/>
        <v>0</v>
      </c>
      <c r="J230" s="32"/>
    </row>
    <row r="231" spans="1:10" ht="38.25">
      <c r="A231" s="480"/>
      <c r="B231" s="473"/>
      <c r="C231" s="49" t="s">
        <v>218</v>
      </c>
      <c r="D231" s="94">
        <f>SUM(E231:F231)</f>
        <v>0</v>
      </c>
      <c r="E231" s="94">
        <v>0</v>
      </c>
      <c r="F231" s="31">
        <v>0</v>
      </c>
      <c r="G231" s="94">
        <f>SUM(H231:I231)</f>
        <v>6339</v>
      </c>
      <c r="H231" s="94">
        <v>6339</v>
      </c>
      <c r="I231" s="94">
        <v>0</v>
      </c>
      <c r="J231" s="32"/>
    </row>
    <row r="232" spans="1:10" ht="51">
      <c r="A232" s="480"/>
      <c r="B232" s="473"/>
      <c r="C232" s="49" t="s">
        <v>452</v>
      </c>
      <c r="D232" s="94">
        <f>SUM(E232:F232)</f>
        <v>0</v>
      </c>
      <c r="E232" s="94">
        <v>0</v>
      </c>
      <c r="F232" s="31">
        <v>0</v>
      </c>
      <c r="G232" s="94">
        <f>SUM(H232:I232)</f>
        <v>301</v>
      </c>
      <c r="H232" s="94">
        <v>301</v>
      </c>
      <c r="I232" s="94">
        <v>0</v>
      </c>
      <c r="J232" s="32"/>
    </row>
    <row r="233" spans="1:10" s="34" customFormat="1" ht="25.5">
      <c r="A233" s="480"/>
      <c r="B233" s="87">
        <v>85156</v>
      </c>
      <c r="C233" s="105" t="s">
        <v>219</v>
      </c>
      <c r="D233" s="104">
        <f t="shared" ref="D233:I233" si="109">SUM(D234)</f>
        <v>35248</v>
      </c>
      <c r="E233" s="104">
        <f t="shared" si="109"/>
        <v>35248</v>
      </c>
      <c r="F233" s="104">
        <f t="shared" si="109"/>
        <v>0</v>
      </c>
      <c r="G233" s="104">
        <f t="shared" si="109"/>
        <v>34819</v>
      </c>
      <c r="H233" s="104">
        <f t="shared" si="109"/>
        <v>34819</v>
      </c>
      <c r="I233" s="104">
        <f t="shared" si="109"/>
        <v>0</v>
      </c>
      <c r="J233" s="27">
        <f t="shared" ref="J233:J238" si="110">G233/D233</f>
        <v>0.98782909668633678</v>
      </c>
    </row>
    <row r="234" spans="1:10" ht="38.25">
      <c r="A234" s="481"/>
      <c r="B234" s="18"/>
      <c r="C234" s="49" t="s">
        <v>142</v>
      </c>
      <c r="D234" s="94">
        <f>SUM(E234:F234)</f>
        <v>35248</v>
      </c>
      <c r="E234" s="94">
        <v>35248</v>
      </c>
      <c r="F234" s="31">
        <v>0</v>
      </c>
      <c r="G234" s="94">
        <f>SUM(H234:I234)</f>
        <v>34819</v>
      </c>
      <c r="H234" s="94">
        <v>34819</v>
      </c>
      <c r="I234" s="94">
        <v>0</v>
      </c>
      <c r="J234" s="32">
        <f t="shared" si="110"/>
        <v>0.98782909668633678</v>
      </c>
    </row>
    <row r="235" spans="1:10" s="23" customFormat="1" ht="15.75">
      <c r="A235" s="91">
        <v>852</v>
      </c>
      <c r="B235" s="91"/>
      <c r="C235" s="110" t="s">
        <v>220</v>
      </c>
      <c r="D235" s="103">
        <f>SUM(D236,D239,D243,D246,D249,D251)</f>
        <v>2616755</v>
      </c>
      <c r="E235" s="103">
        <f t="shared" ref="E235:I235" si="111">SUM(E236,E239,E243,E246,E249,E251)</f>
        <v>2587620</v>
      </c>
      <c r="F235" s="103">
        <f t="shared" si="111"/>
        <v>29135</v>
      </c>
      <c r="G235" s="103">
        <f t="shared" si="111"/>
        <v>2988284</v>
      </c>
      <c r="H235" s="103">
        <f t="shared" si="111"/>
        <v>2954570</v>
      </c>
      <c r="I235" s="103">
        <f t="shared" si="111"/>
        <v>33714</v>
      </c>
      <c r="J235" s="22">
        <f t="shared" si="110"/>
        <v>1.1419808121127122</v>
      </c>
    </row>
    <row r="236" spans="1:10" s="62" customFormat="1" ht="38.25">
      <c r="A236" s="482"/>
      <c r="B236" s="80">
        <v>85212</v>
      </c>
      <c r="C236" s="113" t="s">
        <v>26</v>
      </c>
      <c r="D236" s="100">
        <f>SUM(D237:D238)</f>
        <v>1380087</v>
      </c>
      <c r="E236" s="100">
        <f t="shared" ref="E236:I236" si="112">SUM(E237:E238)</f>
        <v>1380087</v>
      </c>
      <c r="F236" s="100">
        <f t="shared" si="112"/>
        <v>0</v>
      </c>
      <c r="G236" s="100">
        <f t="shared" si="112"/>
        <v>1379947</v>
      </c>
      <c r="H236" s="100">
        <f t="shared" si="112"/>
        <v>1379947</v>
      </c>
      <c r="I236" s="100">
        <f t="shared" si="112"/>
        <v>0</v>
      </c>
      <c r="J236" s="59">
        <f t="shared" si="110"/>
        <v>0.99989855711994968</v>
      </c>
    </row>
    <row r="237" spans="1:10" s="85" customFormat="1" ht="38.25">
      <c r="A237" s="482"/>
      <c r="B237" s="469"/>
      <c r="C237" s="96" t="s">
        <v>142</v>
      </c>
      <c r="D237" s="95">
        <f>SUM(E237:F237)</f>
        <v>1379961</v>
      </c>
      <c r="E237" s="95">
        <v>1379961</v>
      </c>
      <c r="F237" s="54">
        <v>0</v>
      </c>
      <c r="G237" s="95">
        <f>SUM(H237:I237)</f>
        <v>1379859</v>
      </c>
      <c r="H237" s="95">
        <v>1379859</v>
      </c>
      <c r="I237" s="95">
        <v>0</v>
      </c>
      <c r="J237" s="63">
        <f t="shared" si="110"/>
        <v>0.99992608486761581</v>
      </c>
    </row>
    <row r="238" spans="1:10" s="85" customFormat="1" ht="25.5">
      <c r="A238" s="482"/>
      <c r="B238" s="470"/>
      <c r="C238" s="49" t="s">
        <v>221</v>
      </c>
      <c r="D238" s="95">
        <f>SUM(E238:F238)</f>
        <v>126</v>
      </c>
      <c r="E238" s="95">
        <v>126</v>
      </c>
      <c r="F238" s="54">
        <v>0</v>
      </c>
      <c r="G238" s="95">
        <f>SUM(H238:I238)</f>
        <v>88</v>
      </c>
      <c r="H238" s="95">
        <v>88</v>
      </c>
      <c r="I238" s="95">
        <v>0</v>
      </c>
      <c r="J238" s="63">
        <f t="shared" si="110"/>
        <v>0.69841269841269837</v>
      </c>
    </row>
    <row r="239" spans="1:10" s="34" customFormat="1" ht="15">
      <c r="A239" s="482"/>
      <c r="B239" s="87">
        <v>85217</v>
      </c>
      <c r="C239" s="105" t="s">
        <v>222</v>
      </c>
      <c r="D239" s="104">
        <f t="shared" ref="D239:I239" si="113">SUM(D240:D242)</f>
        <v>0</v>
      </c>
      <c r="E239" s="104">
        <f t="shared" si="113"/>
        <v>0</v>
      </c>
      <c r="F239" s="104">
        <f t="shared" si="113"/>
        <v>0</v>
      </c>
      <c r="G239" s="104">
        <f t="shared" si="113"/>
        <v>5661</v>
      </c>
      <c r="H239" s="104">
        <f t="shared" si="113"/>
        <v>5661</v>
      </c>
      <c r="I239" s="104">
        <f t="shared" si="113"/>
        <v>0</v>
      </c>
      <c r="J239" s="63"/>
    </row>
    <row r="240" spans="1:10" ht="51">
      <c r="A240" s="482"/>
      <c r="B240" s="473"/>
      <c r="C240" s="49" t="s">
        <v>385</v>
      </c>
      <c r="D240" s="94">
        <f>SUM(E240:F240)</f>
        <v>0</v>
      </c>
      <c r="E240" s="94">
        <v>0</v>
      </c>
      <c r="F240" s="31">
        <v>0</v>
      </c>
      <c r="G240" s="94">
        <f>SUM(H240:I240)</f>
        <v>4833</v>
      </c>
      <c r="H240" s="94">
        <v>4833</v>
      </c>
      <c r="I240" s="94">
        <v>0</v>
      </c>
      <c r="J240" s="63"/>
    </row>
    <row r="241" spans="1:10" ht="25.5">
      <c r="A241" s="482"/>
      <c r="B241" s="473"/>
      <c r="C241" s="49" t="s">
        <v>223</v>
      </c>
      <c r="D241" s="94">
        <f>SUM(E241:F241)</f>
        <v>0</v>
      </c>
      <c r="E241" s="94">
        <v>0</v>
      </c>
      <c r="F241" s="31">
        <v>0</v>
      </c>
      <c r="G241" s="94">
        <f>SUM(H241:I241)</f>
        <v>609</v>
      </c>
      <c r="H241" s="114">
        <v>609</v>
      </c>
      <c r="I241" s="94">
        <v>0</v>
      </c>
      <c r="J241" s="63"/>
    </row>
    <row r="242" spans="1:10" ht="51">
      <c r="A242" s="482"/>
      <c r="B242" s="473"/>
      <c r="C242" s="49" t="s">
        <v>453</v>
      </c>
      <c r="D242" s="94">
        <f>SUM(E242:F242)</f>
        <v>0</v>
      </c>
      <c r="E242" s="94">
        <v>0</v>
      </c>
      <c r="F242" s="31">
        <v>0</v>
      </c>
      <c r="G242" s="94">
        <f>SUM(H242:I242)</f>
        <v>219</v>
      </c>
      <c r="H242" s="94">
        <v>219</v>
      </c>
      <c r="I242" s="94">
        <v>0</v>
      </c>
      <c r="J242" s="63"/>
    </row>
    <row r="243" spans="1:10" s="34" customFormat="1" ht="15">
      <c r="A243" s="482"/>
      <c r="B243" s="87">
        <v>85218</v>
      </c>
      <c r="C243" s="105" t="s">
        <v>224</v>
      </c>
      <c r="D243" s="104">
        <f>SUM(D244:D245)</f>
        <v>5048</v>
      </c>
      <c r="E243" s="104">
        <f t="shared" ref="E243:I243" si="114">SUM(E244:E245)</f>
        <v>5048</v>
      </c>
      <c r="F243" s="104">
        <f t="shared" si="114"/>
        <v>0</v>
      </c>
      <c r="G243" s="104">
        <f t="shared" si="114"/>
        <v>5045</v>
      </c>
      <c r="H243" s="104">
        <f t="shared" si="114"/>
        <v>5045</v>
      </c>
      <c r="I243" s="104">
        <f t="shared" si="114"/>
        <v>0</v>
      </c>
      <c r="J243" s="27">
        <f t="shared" ref="J243:J253" si="115">G243/D243</f>
        <v>0.99940570522979399</v>
      </c>
    </row>
    <row r="244" spans="1:10" ht="51">
      <c r="A244" s="482"/>
      <c r="B244" s="461"/>
      <c r="C244" s="49" t="s">
        <v>86</v>
      </c>
      <c r="D244" s="94">
        <f>SUM(E244:F244)</f>
        <v>4824</v>
      </c>
      <c r="E244" s="94">
        <v>4824</v>
      </c>
      <c r="F244" s="31">
        <v>0</v>
      </c>
      <c r="G244" s="94">
        <f>SUM(H244:I244)</f>
        <v>4822</v>
      </c>
      <c r="H244" s="94">
        <v>4822</v>
      </c>
      <c r="I244" s="94">
        <v>0</v>
      </c>
      <c r="J244" s="32">
        <f t="shared" si="115"/>
        <v>0.99958540630182424</v>
      </c>
    </row>
    <row r="245" spans="1:10" ht="51">
      <c r="A245" s="482"/>
      <c r="B245" s="472"/>
      <c r="C245" s="49" t="s">
        <v>443</v>
      </c>
      <c r="D245" s="94">
        <f>SUM(E245:F245)</f>
        <v>224</v>
      </c>
      <c r="E245" s="94">
        <v>224</v>
      </c>
      <c r="F245" s="31">
        <v>0</v>
      </c>
      <c r="G245" s="94">
        <f>SUM(H245:I245)</f>
        <v>223</v>
      </c>
      <c r="H245" s="94">
        <v>223</v>
      </c>
      <c r="I245" s="94">
        <v>0</v>
      </c>
      <c r="J245" s="32">
        <f t="shared" si="115"/>
        <v>0.9955357142857143</v>
      </c>
    </row>
    <row r="246" spans="1:10" s="34" customFormat="1" ht="15">
      <c r="A246" s="482"/>
      <c r="B246" s="87">
        <v>85219</v>
      </c>
      <c r="C246" s="105" t="s">
        <v>225</v>
      </c>
      <c r="D246" s="104">
        <f t="shared" ref="D246:I246" si="116">SUM(D247:D248)</f>
        <v>2472</v>
      </c>
      <c r="E246" s="104">
        <f t="shared" si="116"/>
        <v>2472</v>
      </c>
      <c r="F246" s="104">
        <f t="shared" si="116"/>
        <v>0</v>
      </c>
      <c r="G246" s="104">
        <f t="shared" si="116"/>
        <v>4249</v>
      </c>
      <c r="H246" s="104">
        <f t="shared" si="116"/>
        <v>4249</v>
      </c>
      <c r="I246" s="104">
        <f t="shared" si="116"/>
        <v>0</v>
      </c>
      <c r="J246" s="27">
        <f t="shared" si="115"/>
        <v>1.7188511326860842</v>
      </c>
    </row>
    <row r="247" spans="1:10" ht="51">
      <c r="A247" s="482"/>
      <c r="B247" s="473"/>
      <c r="C247" s="49" t="s">
        <v>86</v>
      </c>
      <c r="D247" s="94">
        <f>SUM(E247:F247)</f>
        <v>2455</v>
      </c>
      <c r="E247" s="94">
        <f>189+2266</f>
        <v>2455</v>
      </c>
      <c r="F247" s="31">
        <v>0</v>
      </c>
      <c r="G247" s="94">
        <f>SUM(H247:I247)</f>
        <v>4024</v>
      </c>
      <c r="H247" s="94">
        <f>189+3835</f>
        <v>4024</v>
      </c>
      <c r="I247" s="94">
        <v>0</v>
      </c>
      <c r="J247" s="32">
        <f t="shared" si="115"/>
        <v>1.6391038696537679</v>
      </c>
    </row>
    <row r="248" spans="1:10" ht="51">
      <c r="A248" s="482"/>
      <c r="B248" s="473"/>
      <c r="C248" s="49" t="s">
        <v>443</v>
      </c>
      <c r="D248" s="94">
        <f>SUM(E248:F248)</f>
        <v>17</v>
      </c>
      <c r="E248" s="94">
        <v>17</v>
      </c>
      <c r="F248" s="31">
        <v>0</v>
      </c>
      <c r="G248" s="94">
        <f>SUM(H248:I248)</f>
        <v>225</v>
      </c>
      <c r="H248" s="94">
        <v>225</v>
      </c>
      <c r="I248" s="94">
        <v>0</v>
      </c>
      <c r="J248" s="32">
        <f t="shared" si="115"/>
        <v>13.235294117647058</v>
      </c>
    </row>
    <row r="249" spans="1:10" s="34" customFormat="1" ht="15">
      <c r="A249" s="482"/>
      <c r="B249" s="87">
        <v>85226</v>
      </c>
      <c r="C249" s="105" t="s">
        <v>39</v>
      </c>
      <c r="D249" s="104">
        <f t="shared" ref="D249:I249" si="117">SUM(D250:D250)</f>
        <v>789964</v>
      </c>
      <c r="E249" s="104">
        <f t="shared" si="117"/>
        <v>789964</v>
      </c>
      <c r="F249" s="104">
        <f t="shared" si="117"/>
        <v>0</v>
      </c>
      <c r="G249" s="104">
        <f t="shared" si="117"/>
        <v>787344</v>
      </c>
      <c r="H249" s="104">
        <f t="shared" si="117"/>
        <v>787344</v>
      </c>
      <c r="I249" s="104">
        <f t="shared" si="117"/>
        <v>0</v>
      </c>
      <c r="J249" s="27">
        <f t="shared" si="115"/>
        <v>0.9966833931672836</v>
      </c>
    </row>
    <row r="250" spans="1:10" ht="38.25">
      <c r="A250" s="482"/>
      <c r="B250" s="18"/>
      <c r="C250" s="96" t="s">
        <v>142</v>
      </c>
      <c r="D250" s="94">
        <f>SUM(E250:F250)</f>
        <v>789964</v>
      </c>
      <c r="E250" s="94">
        <v>789964</v>
      </c>
      <c r="F250" s="31">
        <v>0</v>
      </c>
      <c r="G250" s="94">
        <f>SUM(H250:I250)</f>
        <v>787344</v>
      </c>
      <c r="H250" s="94">
        <v>787344</v>
      </c>
      <c r="I250" s="94">
        <v>0</v>
      </c>
      <c r="J250" s="32">
        <f t="shared" si="115"/>
        <v>0.9966833931672836</v>
      </c>
    </row>
    <row r="251" spans="1:10" s="34" customFormat="1" ht="15">
      <c r="A251" s="482"/>
      <c r="B251" s="87">
        <v>85295</v>
      </c>
      <c r="C251" s="105" t="s">
        <v>22</v>
      </c>
      <c r="D251" s="104">
        <f t="shared" ref="D251:I251" si="118">SUM(D252:D254)</f>
        <v>439184</v>
      </c>
      <c r="E251" s="104">
        <f t="shared" si="118"/>
        <v>410049</v>
      </c>
      <c r="F251" s="104">
        <f t="shared" si="118"/>
        <v>29135</v>
      </c>
      <c r="G251" s="104">
        <f t="shared" si="118"/>
        <v>806038</v>
      </c>
      <c r="H251" s="104">
        <f t="shared" si="118"/>
        <v>772324</v>
      </c>
      <c r="I251" s="104">
        <f t="shared" si="118"/>
        <v>33714</v>
      </c>
      <c r="J251" s="27">
        <f t="shared" si="115"/>
        <v>1.8353082079492877</v>
      </c>
    </row>
    <row r="252" spans="1:10" ht="51">
      <c r="A252" s="482"/>
      <c r="B252" s="473"/>
      <c r="C252" s="49" t="s">
        <v>86</v>
      </c>
      <c r="D252" s="94">
        <f>SUM(E252:F252)</f>
        <v>68586</v>
      </c>
      <c r="E252" s="94">
        <v>68586</v>
      </c>
      <c r="F252" s="31">
        <v>0</v>
      </c>
      <c r="G252" s="94">
        <f>SUM(H252:I252)</f>
        <v>68625</v>
      </c>
      <c r="H252" s="94">
        <v>68625</v>
      </c>
      <c r="I252" s="94">
        <v>0</v>
      </c>
      <c r="J252" s="32">
        <f t="shared" si="115"/>
        <v>1.0005686291663021</v>
      </c>
    </row>
    <row r="253" spans="1:10" ht="51">
      <c r="A253" s="482"/>
      <c r="B253" s="473"/>
      <c r="C253" s="49" t="s">
        <v>443</v>
      </c>
      <c r="D253" s="94">
        <f>SUM(E253:F253)</f>
        <v>3644</v>
      </c>
      <c r="E253" s="94">
        <v>3644</v>
      </c>
      <c r="F253" s="31">
        <v>0</v>
      </c>
      <c r="G253" s="94">
        <f>SUM(H253:I253)</f>
        <v>3657</v>
      </c>
      <c r="H253" s="94">
        <v>3657</v>
      </c>
      <c r="I253" s="94">
        <v>0</v>
      </c>
      <c r="J253" s="32">
        <f t="shared" si="115"/>
        <v>1.0035675082327113</v>
      </c>
    </row>
    <row r="254" spans="1:10" ht="76.5">
      <c r="A254" s="482"/>
      <c r="B254" s="473"/>
      <c r="C254" s="106" t="s">
        <v>226</v>
      </c>
      <c r="D254" s="94">
        <f>SUM(E254:F254)</f>
        <v>366954</v>
      </c>
      <c r="E254" s="94">
        <v>337819</v>
      </c>
      <c r="F254" s="31">
        <v>29135</v>
      </c>
      <c r="G254" s="94">
        <f>SUM(H254:I254)</f>
        <v>733756</v>
      </c>
      <c r="H254" s="94">
        <v>700042</v>
      </c>
      <c r="I254" s="94">
        <v>33714</v>
      </c>
      <c r="J254" s="32">
        <f>G254/D254</f>
        <v>1.9995857791439799</v>
      </c>
    </row>
    <row r="255" spans="1:10" s="23" customFormat="1" ht="15.75">
      <c r="A255" s="91">
        <v>853</v>
      </c>
      <c r="B255" s="91"/>
      <c r="C255" s="110" t="s">
        <v>227</v>
      </c>
      <c r="D255" s="103">
        <f>SUM(D258,D270,D256)</f>
        <v>14283279</v>
      </c>
      <c r="E255" s="103">
        <f t="shared" ref="E255:I255" si="119">SUM(E258,E270,E256)</f>
        <v>14283279</v>
      </c>
      <c r="F255" s="103">
        <f t="shared" si="119"/>
        <v>0</v>
      </c>
      <c r="G255" s="103">
        <f t="shared" si="119"/>
        <v>13895942</v>
      </c>
      <c r="H255" s="103">
        <f t="shared" si="119"/>
        <v>13895942</v>
      </c>
      <c r="I255" s="103">
        <f t="shared" si="119"/>
        <v>0</v>
      </c>
      <c r="J255" s="56">
        <f>G255/D255</f>
        <v>0.97288178715825691</v>
      </c>
    </row>
    <row r="256" spans="1:10" s="34" customFormat="1" ht="15">
      <c r="A256" s="474"/>
      <c r="B256" s="323">
        <v>85324</v>
      </c>
      <c r="C256" s="105" t="s">
        <v>394</v>
      </c>
      <c r="D256" s="104">
        <f>SUM(D257)</f>
        <v>155618</v>
      </c>
      <c r="E256" s="104">
        <f t="shared" ref="E256:I256" si="120">SUM(E257)</f>
        <v>155618</v>
      </c>
      <c r="F256" s="104">
        <f t="shared" si="120"/>
        <v>0</v>
      </c>
      <c r="G256" s="104">
        <f t="shared" si="120"/>
        <v>162583</v>
      </c>
      <c r="H256" s="104">
        <f t="shared" si="120"/>
        <v>162583</v>
      </c>
      <c r="I256" s="104">
        <f t="shared" si="120"/>
        <v>0</v>
      </c>
      <c r="J256" s="27">
        <f t="shared" ref="J256:J257" si="121">G256/D256</f>
        <v>1.0447570332480818</v>
      </c>
    </row>
    <row r="257" spans="1:10" ht="25.5">
      <c r="A257" s="475"/>
      <c r="B257" s="321"/>
      <c r="C257" s="49" t="s">
        <v>397</v>
      </c>
      <c r="D257" s="94">
        <f t="shared" ref="D257" si="122">SUM(E257:F257)</f>
        <v>155618</v>
      </c>
      <c r="E257" s="94">
        <v>155618</v>
      </c>
      <c r="F257" s="31">
        <v>0</v>
      </c>
      <c r="G257" s="94">
        <f t="shared" ref="G257" si="123">SUM(H257:I257)</f>
        <v>162583</v>
      </c>
      <c r="H257" s="107">
        <v>162583</v>
      </c>
      <c r="I257" s="94">
        <v>0</v>
      </c>
      <c r="J257" s="32">
        <f t="shared" si="121"/>
        <v>1.0447570332480818</v>
      </c>
    </row>
    <row r="258" spans="1:10" s="34" customFormat="1" ht="15">
      <c r="A258" s="475"/>
      <c r="B258" s="87">
        <v>85332</v>
      </c>
      <c r="C258" s="105" t="s">
        <v>27</v>
      </c>
      <c r="D258" s="104">
        <f>SUM(D259:D269)</f>
        <v>14001312</v>
      </c>
      <c r="E258" s="104">
        <f t="shared" ref="E258:I258" si="124">SUM(E259:E269)</f>
        <v>14001312</v>
      </c>
      <c r="F258" s="104">
        <f t="shared" si="124"/>
        <v>0</v>
      </c>
      <c r="G258" s="104">
        <f t="shared" si="124"/>
        <v>13608912</v>
      </c>
      <c r="H258" s="104">
        <f t="shared" si="124"/>
        <v>13608912</v>
      </c>
      <c r="I258" s="104">
        <f t="shared" si="124"/>
        <v>0</v>
      </c>
      <c r="J258" s="27">
        <f t="shared" ref="J258:J265" si="125">G258/D258</f>
        <v>0.97197405500284539</v>
      </c>
    </row>
    <row r="259" spans="1:10" ht="25.5">
      <c r="A259" s="475"/>
      <c r="B259" s="461"/>
      <c r="C259" s="49" t="s">
        <v>228</v>
      </c>
      <c r="D259" s="94">
        <f t="shared" ref="D259:D267" si="126">SUM(E259:F259)</f>
        <v>151729</v>
      </c>
      <c r="E259" s="94">
        <f>151600+129</f>
        <v>151729</v>
      </c>
      <c r="F259" s="31">
        <v>0</v>
      </c>
      <c r="G259" s="94">
        <f t="shared" ref="G259:G267" si="127">SUM(H259:I259)</f>
        <v>158243</v>
      </c>
      <c r="H259" s="107">
        <f>154808+130+3305</f>
        <v>158243</v>
      </c>
      <c r="I259" s="94">
        <v>0</v>
      </c>
      <c r="J259" s="32">
        <f t="shared" si="125"/>
        <v>1.0429318060489425</v>
      </c>
    </row>
    <row r="260" spans="1:10">
      <c r="A260" s="475"/>
      <c r="B260" s="463"/>
      <c r="C260" s="49" t="s">
        <v>229</v>
      </c>
      <c r="D260" s="94">
        <f t="shared" si="126"/>
        <v>1104100</v>
      </c>
      <c r="E260" s="94">
        <v>1104100</v>
      </c>
      <c r="F260" s="31">
        <v>0</v>
      </c>
      <c r="G260" s="94">
        <f t="shared" si="127"/>
        <v>1016759</v>
      </c>
      <c r="H260" s="107">
        <v>1016759</v>
      </c>
      <c r="I260" s="94">
        <v>0</v>
      </c>
      <c r="J260" s="32">
        <f t="shared" si="125"/>
        <v>0.92089394076623499</v>
      </c>
    </row>
    <row r="261" spans="1:10" s="115" customFormat="1" ht="38.25">
      <c r="A261" s="475"/>
      <c r="B261" s="463"/>
      <c r="C261" s="49" t="s">
        <v>50</v>
      </c>
      <c r="D261" s="107">
        <f t="shared" si="126"/>
        <v>32000</v>
      </c>
      <c r="E261" s="107">
        <v>32000</v>
      </c>
      <c r="F261" s="41">
        <v>0</v>
      </c>
      <c r="G261" s="107">
        <f t="shared" si="127"/>
        <v>32000</v>
      </c>
      <c r="H261" s="107">
        <v>32000</v>
      </c>
      <c r="I261" s="107">
        <v>0</v>
      </c>
      <c r="J261" s="45">
        <f t="shared" si="125"/>
        <v>1</v>
      </c>
    </row>
    <row r="262" spans="1:10" s="115" customFormat="1" ht="38.25">
      <c r="A262" s="475"/>
      <c r="B262" s="463"/>
      <c r="C262" s="116" t="s">
        <v>230</v>
      </c>
      <c r="D262" s="107">
        <f t="shared" si="126"/>
        <v>12452996</v>
      </c>
      <c r="E262" s="107">
        <v>12452996</v>
      </c>
      <c r="F262" s="41">
        <v>0</v>
      </c>
      <c r="G262" s="107">
        <f t="shared" si="127"/>
        <v>12150932</v>
      </c>
      <c r="H262" s="107">
        <v>12150932</v>
      </c>
      <c r="I262" s="107">
        <v>0</v>
      </c>
      <c r="J262" s="45">
        <f t="shared" si="125"/>
        <v>0.97574366843127547</v>
      </c>
    </row>
    <row r="263" spans="1:10" s="115" customFormat="1" ht="38.25">
      <c r="A263" s="475"/>
      <c r="B263" s="463"/>
      <c r="C263" s="116" t="s">
        <v>231</v>
      </c>
      <c r="D263" s="107">
        <f t="shared" si="126"/>
        <v>249400</v>
      </c>
      <c r="E263" s="107">
        <v>249400</v>
      </c>
      <c r="F263" s="41">
        <v>0</v>
      </c>
      <c r="G263" s="107">
        <f t="shared" si="127"/>
        <v>230647</v>
      </c>
      <c r="H263" s="107">
        <v>230647</v>
      </c>
      <c r="I263" s="107">
        <v>0</v>
      </c>
      <c r="J263" s="45">
        <f t="shared" si="125"/>
        <v>0.92480753809141936</v>
      </c>
    </row>
    <row r="264" spans="1:10" ht="51">
      <c r="A264" s="475"/>
      <c r="B264" s="463"/>
      <c r="C264" s="49" t="s">
        <v>232</v>
      </c>
      <c r="D264" s="94">
        <f t="shared" si="126"/>
        <v>9227</v>
      </c>
      <c r="E264" s="94">
        <f>7842+1385</f>
        <v>9227</v>
      </c>
      <c r="F264" s="31">
        <v>0</v>
      </c>
      <c r="G264" s="94">
        <f t="shared" si="127"/>
        <v>9225</v>
      </c>
      <c r="H264" s="94">
        <f>7841+1384</f>
        <v>9225</v>
      </c>
      <c r="I264" s="94">
        <v>0</v>
      </c>
      <c r="J264" s="32">
        <f t="shared" si="125"/>
        <v>0.99978324482497016</v>
      </c>
    </row>
    <row r="265" spans="1:10" ht="51">
      <c r="A265" s="475"/>
      <c r="B265" s="463"/>
      <c r="C265" s="49" t="s">
        <v>454</v>
      </c>
      <c r="D265" s="94">
        <f t="shared" si="126"/>
        <v>1500</v>
      </c>
      <c r="E265" s="94">
        <v>1500</v>
      </c>
      <c r="F265" s="31">
        <v>0</v>
      </c>
      <c r="G265" s="94">
        <f t="shared" si="127"/>
        <v>1475</v>
      </c>
      <c r="H265" s="94">
        <v>1475</v>
      </c>
      <c r="I265" s="94">
        <v>0</v>
      </c>
      <c r="J265" s="32">
        <f t="shared" si="125"/>
        <v>0.98333333333333328</v>
      </c>
    </row>
    <row r="266" spans="1:10" ht="38.25">
      <c r="A266" s="475"/>
      <c r="B266" s="463"/>
      <c r="C266" s="49" t="s">
        <v>233</v>
      </c>
      <c r="D266" s="94">
        <f t="shared" ref="D266" si="128">SUM(E266:F266)</f>
        <v>0</v>
      </c>
      <c r="E266" s="94">
        <v>0</v>
      </c>
      <c r="F266" s="31">
        <v>0</v>
      </c>
      <c r="G266" s="94">
        <f t="shared" ref="G266" si="129">SUM(H266:I266)</f>
        <v>5888</v>
      </c>
      <c r="H266" s="94">
        <v>5888</v>
      </c>
      <c r="I266" s="94">
        <v>0</v>
      </c>
      <c r="J266" s="32"/>
    </row>
    <row r="267" spans="1:10" ht="38.25">
      <c r="A267" s="475"/>
      <c r="B267" s="463"/>
      <c r="C267" s="49" t="s">
        <v>455</v>
      </c>
      <c r="D267" s="94">
        <f t="shared" si="126"/>
        <v>0</v>
      </c>
      <c r="E267" s="94">
        <v>0</v>
      </c>
      <c r="F267" s="31">
        <v>0</v>
      </c>
      <c r="G267" s="94">
        <f t="shared" si="127"/>
        <v>2398</v>
      </c>
      <c r="H267" s="94">
        <v>2398</v>
      </c>
      <c r="I267" s="94">
        <v>0</v>
      </c>
      <c r="J267" s="32"/>
    </row>
    <row r="268" spans="1:10" ht="38.25">
      <c r="A268" s="475"/>
      <c r="B268" s="463"/>
      <c r="C268" s="49" t="s">
        <v>399</v>
      </c>
      <c r="D268" s="94">
        <f t="shared" ref="D268:D269" si="130">SUM(E268:F268)</f>
        <v>360</v>
      </c>
      <c r="E268" s="94">
        <v>360</v>
      </c>
      <c r="F268" s="31">
        <v>0</v>
      </c>
      <c r="G268" s="94">
        <f t="shared" ref="G268:G269" si="131">SUM(H268:I268)</f>
        <v>424</v>
      </c>
      <c r="H268" s="94">
        <v>424</v>
      </c>
      <c r="I268" s="94">
        <v>0</v>
      </c>
      <c r="J268" s="32">
        <f t="shared" ref="J268" si="132">G268/D268</f>
        <v>1.1777777777777778</v>
      </c>
    </row>
    <row r="269" spans="1:10" ht="38.25">
      <c r="A269" s="475"/>
      <c r="B269" s="462"/>
      <c r="C269" s="49" t="s">
        <v>400</v>
      </c>
      <c r="D269" s="94">
        <f t="shared" si="130"/>
        <v>0</v>
      </c>
      <c r="E269" s="94">
        <v>0</v>
      </c>
      <c r="F269" s="31">
        <v>0</v>
      </c>
      <c r="G269" s="94">
        <f t="shared" si="131"/>
        <v>921</v>
      </c>
      <c r="H269" s="94">
        <v>921</v>
      </c>
      <c r="I269" s="94">
        <v>0</v>
      </c>
      <c r="J269" s="32"/>
    </row>
    <row r="270" spans="1:10" s="34" customFormat="1" ht="15">
      <c r="A270" s="475"/>
      <c r="B270" s="87">
        <v>85395</v>
      </c>
      <c r="C270" s="105" t="s">
        <v>22</v>
      </c>
      <c r="D270" s="104">
        <f>SUM(D271:D275)</f>
        <v>126349</v>
      </c>
      <c r="E270" s="104">
        <f t="shared" ref="E270:I270" si="133">SUM(E271:E275)</f>
        <v>126349</v>
      </c>
      <c r="F270" s="104">
        <f t="shared" si="133"/>
        <v>0</v>
      </c>
      <c r="G270" s="104">
        <f t="shared" si="133"/>
        <v>124447</v>
      </c>
      <c r="H270" s="104">
        <f t="shared" si="133"/>
        <v>124447</v>
      </c>
      <c r="I270" s="104">
        <f t="shared" si="133"/>
        <v>0</v>
      </c>
      <c r="J270" s="27">
        <f t="shared" ref="J270:J320" si="134">G270/D270</f>
        <v>0.98494645782712964</v>
      </c>
    </row>
    <row r="271" spans="1:10" ht="51">
      <c r="A271" s="475"/>
      <c r="B271" s="473"/>
      <c r="C271" s="49" t="s">
        <v>86</v>
      </c>
      <c r="D271" s="95">
        <f>SUM(E271:F271)</f>
        <v>118748</v>
      </c>
      <c r="E271" s="94">
        <f>200+118548</f>
        <v>118748</v>
      </c>
      <c r="F271" s="31">
        <v>0</v>
      </c>
      <c r="G271" s="94">
        <f>SUM(H271:I271)</f>
        <v>118746</v>
      </c>
      <c r="H271" s="94">
        <f>200+118546</f>
        <v>118746</v>
      </c>
      <c r="I271" s="94"/>
      <c r="J271" s="32">
        <f t="shared" si="134"/>
        <v>0.99998315761107559</v>
      </c>
    </row>
    <row r="272" spans="1:10" ht="51">
      <c r="A272" s="475"/>
      <c r="B272" s="473"/>
      <c r="C272" s="49" t="s">
        <v>456</v>
      </c>
      <c r="D272" s="95">
        <f>SUM(E272:F272)</f>
        <v>1633</v>
      </c>
      <c r="E272" s="94">
        <v>1633</v>
      </c>
      <c r="F272" s="31">
        <v>0</v>
      </c>
      <c r="G272" s="94">
        <f>SUM(H272:I272)</f>
        <v>1632</v>
      </c>
      <c r="H272" s="94">
        <v>1632</v>
      </c>
      <c r="I272" s="94">
        <v>0</v>
      </c>
      <c r="J272" s="32">
        <f t="shared" si="134"/>
        <v>0.99938763012859766</v>
      </c>
    </row>
    <row r="273" spans="1:10" ht="38.25">
      <c r="A273" s="475"/>
      <c r="B273" s="473"/>
      <c r="C273" s="49" t="s">
        <v>234</v>
      </c>
      <c r="D273" s="95">
        <f t="shared" ref="D273:D274" si="135">SUM(E273:F273)</f>
        <v>3600</v>
      </c>
      <c r="E273" s="94">
        <v>3600</v>
      </c>
      <c r="F273" s="31">
        <v>0</v>
      </c>
      <c r="G273" s="94">
        <f t="shared" ref="G273:G274" si="136">SUM(H273:I273)</f>
        <v>1703</v>
      </c>
      <c r="H273" s="94">
        <v>1703</v>
      </c>
      <c r="I273" s="94">
        <v>0</v>
      </c>
      <c r="J273" s="32">
        <f t="shared" si="134"/>
        <v>0.47305555555555556</v>
      </c>
    </row>
    <row r="274" spans="1:10" ht="41.25" customHeight="1">
      <c r="A274" s="475"/>
      <c r="B274" s="473"/>
      <c r="C274" s="49" t="s">
        <v>398</v>
      </c>
      <c r="D274" s="95">
        <f t="shared" si="135"/>
        <v>2315</v>
      </c>
      <c r="E274" s="94">
        <v>2315</v>
      </c>
      <c r="F274" s="31">
        <v>0</v>
      </c>
      <c r="G274" s="94">
        <f t="shared" si="136"/>
        <v>2314</v>
      </c>
      <c r="H274" s="94">
        <v>2314</v>
      </c>
      <c r="I274" s="94">
        <v>0</v>
      </c>
      <c r="J274" s="32">
        <f t="shared" si="134"/>
        <v>0.99956803455723542</v>
      </c>
    </row>
    <row r="275" spans="1:10" ht="51">
      <c r="A275" s="476"/>
      <c r="B275" s="473"/>
      <c r="C275" s="49" t="s">
        <v>457</v>
      </c>
      <c r="D275" s="95">
        <f>SUM(E275:F275)</f>
        <v>53</v>
      </c>
      <c r="E275" s="94">
        <v>53</v>
      </c>
      <c r="F275" s="31">
        <v>0</v>
      </c>
      <c r="G275" s="94">
        <f>SUM(H275:I275)</f>
        <v>52</v>
      </c>
      <c r="H275" s="94">
        <v>52</v>
      </c>
      <c r="I275" s="94">
        <v>0</v>
      </c>
      <c r="J275" s="32">
        <f t="shared" si="134"/>
        <v>0.98113207547169812</v>
      </c>
    </row>
    <row r="276" spans="1:10" s="23" customFormat="1" ht="15.75">
      <c r="A276" s="91">
        <v>854</v>
      </c>
      <c r="B276" s="91"/>
      <c r="C276" s="110" t="s">
        <v>235</v>
      </c>
      <c r="D276" s="103">
        <f>SUM(D277,D279,D281)</f>
        <v>47451</v>
      </c>
      <c r="E276" s="103">
        <f t="shared" ref="E276:I276" si="137">SUM(E277,E279,E281)</f>
        <v>47450</v>
      </c>
      <c r="F276" s="103">
        <f t="shared" si="137"/>
        <v>1</v>
      </c>
      <c r="G276" s="103">
        <f t="shared" si="137"/>
        <v>47437</v>
      </c>
      <c r="H276" s="103">
        <f t="shared" si="137"/>
        <v>47437</v>
      </c>
      <c r="I276" s="103">
        <f t="shared" si="137"/>
        <v>0</v>
      </c>
      <c r="J276" s="22">
        <f t="shared" si="134"/>
        <v>0.99970495879960375</v>
      </c>
    </row>
    <row r="277" spans="1:10" s="34" customFormat="1" ht="15">
      <c r="A277" s="479"/>
      <c r="B277" s="87">
        <v>85410</v>
      </c>
      <c r="C277" s="105" t="s">
        <v>236</v>
      </c>
      <c r="D277" s="104">
        <f t="shared" ref="D277:I277" si="138">SUM(D278:D278)</f>
        <v>333</v>
      </c>
      <c r="E277" s="104">
        <f t="shared" si="138"/>
        <v>333</v>
      </c>
      <c r="F277" s="104">
        <f t="shared" si="138"/>
        <v>0</v>
      </c>
      <c r="G277" s="104">
        <f t="shared" si="138"/>
        <v>334</v>
      </c>
      <c r="H277" s="104">
        <f t="shared" si="138"/>
        <v>334</v>
      </c>
      <c r="I277" s="104">
        <f t="shared" si="138"/>
        <v>0</v>
      </c>
      <c r="J277" s="27">
        <f t="shared" si="134"/>
        <v>1.003003003003003</v>
      </c>
    </row>
    <row r="278" spans="1:10" ht="38.25">
      <c r="A278" s="480"/>
      <c r="B278" s="18"/>
      <c r="C278" s="49" t="s">
        <v>199</v>
      </c>
      <c r="D278" s="94">
        <f>SUM(E278:F278)</f>
        <v>333</v>
      </c>
      <c r="E278" s="94">
        <v>333</v>
      </c>
      <c r="F278" s="31">
        <v>0</v>
      </c>
      <c r="G278" s="94">
        <f>SUM(H278:I278)</f>
        <v>334</v>
      </c>
      <c r="H278" s="102">
        <v>334</v>
      </c>
      <c r="I278" s="94">
        <v>0</v>
      </c>
      <c r="J278" s="32">
        <f t="shared" si="134"/>
        <v>1.003003003003003</v>
      </c>
    </row>
    <row r="279" spans="1:10" s="34" customFormat="1" ht="15">
      <c r="A279" s="480"/>
      <c r="B279" s="87">
        <v>85415</v>
      </c>
      <c r="C279" s="105" t="s">
        <v>237</v>
      </c>
      <c r="D279" s="104">
        <f t="shared" ref="D279:I279" si="139">SUM(D280:D280)</f>
        <v>1517</v>
      </c>
      <c r="E279" s="104">
        <f t="shared" si="139"/>
        <v>1517</v>
      </c>
      <c r="F279" s="104">
        <f t="shared" si="139"/>
        <v>0</v>
      </c>
      <c r="G279" s="104">
        <f t="shared" si="139"/>
        <v>1515</v>
      </c>
      <c r="H279" s="104">
        <f t="shared" si="139"/>
        <v>1515</v>
      </c>
      <c r="I279" s="104">
        <f t="shared" si="139"/>
        <v>0</v>
      </c>
      <c r="J279" s="27">
        <f t="shared" si="134"/>
        <v>0.99868160843770604</v>
      </c>
    </row>
    <row r="280" spans="1:10" ht="38.25">
      <c r="A280" s="480"/>
      <c r="B280" s="18"/>
      <c r="C280" s="49" t="s">
        <v>238</v>
      </c>
      <c r="D280" s="94">
        <f>SUM(E280:F280)</f>
        <v>1517</v>
      </c>
      <c r="E280" s="94">
        <v>1517</v>
      </c>
      <c r="F280" s="31">
        <v>0</v>
      </c>
      <c r="G280" s="94">
        <f>SUM(H280:I280)</f>
        <v>1515</v>
      </c>
      <c r="H280" s="94">
        <v>1515</v>
      </c>
      <c r="I280" s="94">
        <v>0</v>
      </c>
      <c r="J280" s="32">
        <f t="shared" si="134"/>
        <v>0.99868160843770604</v>
      </c>
    </row>
    <row r="281" spans="1:10" s="34" customFormat="1" ht="15">
      <c r="A281" s="480"/>
      <c r="B281" s="87">
        <v>85495</v>
      </c>
      <c r="C281" s="105" t="s">
        <v>22</v>
      </c>
      <c r="D281" s="104">
        <f t="shared" ref="D281:I281" si="140">SUM(D282:D284)</f>
        <v>45601</v>
      </c>
      <c r="E281" s="104">
        <f t="shared" si="140"/>
        <v>45600</v>
      </c>
      <c r="F281" s="104">
        <f t="shared" si="140"/>
        <v>1</v>
      </c>
      <c r="G281" s="104">
        <f t="shared" si="140"/>
        <v>45588</v>
      </c>
      <c r="H281" s="104">
        <f t="shared" si="140"/>
        <v>45588</v>
      </c>
      <c r="I281" s="104">
        <f t="shared" si="140"/>
        <v>0</v>
      </c>
      <c r="J281" s="27">
        <f t="shared" si="134"/>
        <v>0.99971491853248828</v>
      </c>
    </row>
    <row r="282" spans="1:10" ht="51">
      <c r="A282" s="480"/>
      <c r="B282" s="473"/>
      <c r="C282" s="49" t="s">
        <v>86</v>
      </c>
      <c r="D282" s="94">
        <f>SUM(E282:F282)</f>
        <v>39532</v>
      </c>
      <c r="E282" s="94">
        <f>38808+723</f>
        <v>39531</v>
      </c>
      <c r="F282" s="31">
        <v>1</v>
      </c>
      <c r="G282" s="94">
        <f>SUM(H282:I282)</f>
        <v>39527</v>
      </c>
      <c r="H282" s="94">
        <f>38805+722</f>
        <v>39527</v>
      </c>
      <c r="I282" s="94">
        <v>0</v>
      </c>
      <c r="J282" s="32">
        <f t="shared" si="134"/>
        <v>0.99987352018617826</v>
      </c>
    </row>
    <row r="283" spans="1:10" ht="51">
      <c r="A283" s="480"/>
      <c r="B283" s="473"/>
      <c r="C283" s="49" t="s">
        <v>443</v>
      </c>
      <c r="D283" s="94">
        <f>SUM(E283:F283)</f>
        <v>6022</v>
      </c>
      <c r="E283" s="94">
        <v>6022</v>
      </c>
      <c r="F283" s="31">
        <v>0</v>
      </c>
      <c r="G283" s="94">
        <f>SUM(H283:I283)</f>
        <v>6041</v>
      </c>
      <c r="H283" s="94">
        <v>6041</v>
      </c>
      <c r="I283" s="94">
        <v>0</v>
      </c>
      <c r="J283" s="32">
        <f t="shared" si="134"/>
        <v>1.0031550979740951</v>
      </c>
    </row>
    <row r="284" spans="1:10" ht="38.25">
      <c r="A284" s="481"/>
      <c r="B284" s="473"/>
      <c r="C284" s="49" t="s">
        <v>458</v>
      </c>
      <c r="D284" s="94">
        <f>SUM(E284:F284)</f>
        <v>47</v>
      </c>
      <c r="E284" s="94">
        <v>47</v>
      </c>
      <c r="F284" s="31">
        <v>0</v>
      </c>
      <c r="G284" s="94">
        <f>SUM(H284:I284)</f>
        <v>20</v>
      </c>
      <c r="H284" s="94">
        <v>20</v>
      </c>
      <c r="I284" s="94">
        <v>0</v>
      </c>
      <c r="J284" s="32">
        <f t="shared" si="134"/>
        <v>0.42553191489361702</v>
      </c>
    </row>
    <row r="285" spans="1:10" s="23" customFormat="1" ht="15.75">
      <c r="A285" s="91">
        <v>900</v>
      </c>
      <c r="B285" s="91"/>
      <c r="C285" s="110" t="s">
        <v>239</v>
      </c>
      <c r="D285" s="103">
        <f>SUM(D286,D291,D294,D298,D300,D303,D289)</f>
        <v>571529</v>
      </c>
      <c r="E285" s="103">
        <f t="shared" ref="E285:I285" si="141">SUM(E286,E291,E294,E298,E300,E303,E289)</f>
        <v>497799</v>
      </c>
      <c r="F285" s="103">
        <f t="shared" si="141"/>
        <v>73730</v>
      </c>
      <c r="G285" s="103">
        <f t="shared" si="141"/>
        <v>583141</v>
      </c>
      <c r="H285" s="103">
        <f t="shared" si="141"/>
        <v>509412</v>
      </c>
      <c r="I285" s="103">
        <f t="shared" si="141"/>
        <v>73729</v>
      </c>
      <c r="J285" s="22">
        <f t="shared" si="134"/>
        <v>1.020317429211816</v>
      </c>
    </row>
    <row r="286" spans="1:10" s="23" customFormat="1" ht="15.75">
      <c r="A286" s="474"/>
      <c r="B286" s="87">
        <v>90001</v>
      </c>
      <c r="C286" s="105" t="s">
        <v>240</v>
      </c>
      <c r="D286" s="104">
        <f t="shared" ref="D286:I286" si="142">SUM(D287:D288)</f>
        <v>94111</v>
      </c>
      <c r="E286" s="104">
        <f t="shared" si="142"/>
        <v>20381</v>
      </c>
      <c r="F286" s="104">
        <f t="shared" si="142"/>
        <v>73730</v>
      </c>
      <c r="G286" s="104">
        <f t="shared" si="142"/>
        <v>94110</v>
      </c>
      <c r="H286" s="104">
        <f t="shared" si="142"/>
        <v>20381</v>
      </c>
      <c r="I286" s="104">
        <f t="shared" si="142"/>
        <v>73729</v>
      </c>
      <c r="J286" s="27">
        <f t="shared" si="134"/>
        <v>0.99998937424955636</v>
      </c>
    </row>
    <row r="287" spans="1:10" s="23" customFormat="1" ht="63.75">
      <c r="A287" s="475"/>
      <c r="B287" s="465"/>
      <c r="C287" s="49" t="s">
        <v>447</v>
      </c>
      <c r="D287" s="94">
        <f>SUM(E287:F287)</f>
        <v>20381</v>
      </c>
      <c r="E287" s="94">
        <v>20381</v>
      </c>
      <c r="F287" s="94">
        <v>0</v>
      </c>
      <c r="G287" s="94">
        <f>SUM(H287:I287)</f>
        <v>20381</v>
      </c>
      <c r="H287" s="94">
        <v>20381</v>
      </c>
      <c r="I287" s="94">
        <v>0</v>
      </c>
      <c r="J287" s="32">
        <f t="shared" si="134"/>
        <v>1</v>
      </c>
    </row>
    <row r="288" spans="1:10" s="23" customFormat="1" ht="51">
      <c r="A288" s="475"/>
      <c r="B288" s="465"/>
      <c r="C288" s="49" t="s">
        <v>87</v>
      </c>
      <c r="D288" s="94">
        <f>SUM(E288:F288)</f>
        <v>73730</v>
      </c>
      <c r="E288" s="95">
        <v>0</v>
      </c>
      <c r="F288" s="95">
        <v>73730</v>
      </c>
      <c r="G288" s="94">
        <f>SUM(H288:I288)</f>
        <v>73729</v>
      </c>
      <c r="H288" s="95">
        <v>0</v>
      </c>
      <c r="I288" s="95">
        <v>73729</v>
      </c>
      <c r="J288" s="32">
        <f t="shared" si="134"/>
        <v>0.99998643699986434</v>
      </c>
    </row>
    <row r="289" spans="1:11" s="34" customFormat="1" ht="15">
      <c r="A289" s="475"/>
      <c r="B289" s="319">
        <v>90002</v>
      </c>
      <c r="C289" s="105" t="s">
        <v>388</v>
      </c>
      <c r="D289" s="104">
        <f>SUM(D290)</f>
        <v>0</v>
      </c>
      <c r="E289" s="104">
        <f t="shared" ref="E289:I289" si="143">SUM(E290)</f>
        <v>0</v>
      </c>
      <c r="F289" s="104">
        <f t="shared" si="143"/>
        <v>0</v>
      </c>
      <c r="G289" s="104">
        <f t="shared" si="143"/>
        <v>250</v>
      </c>
      <c r="H289" s="104">
        <f t="shared" si="143"/>
        <v>250</v>
      </c>
      <c r="I289" s="104">
        <f t="shared" si="143"/>
        <v>0</v>
      </c>
      <c r="J289" s="27"/>
    </row>
    <row r="290" spans="1:11" s="55" customFormat="1" ht="38.25">
      <c r="A290" s="475"/>
      <c r="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"G290" s="94">
        <f>SUM(H290:I290)</f>
        <v>250</v>
      </c>
      <c r="H290" s="94">
        <v>250</v>
      </c>
      <c r="I290" s="94"/>
      <c r="J290" s="32"/>
    </row>
    <row r="291" spans="1:11" s="34" customFormat="1" ht="15">
      <c r="A291" s="475"/>
      <c r="B291" s="87">
        <v>90005</v>
      </c>
      <c r="C291" s="105" t="s">
        <v>241</v>
      </c>
      <c r="D291" s="104">
        <f>SUM(D292:D293)</f>
        <v>384123</v>
      </c>
      <c r="E291" s="104">
        <f t="shared" ref="E291:I291" si="144">SUM(E292:E293)</f>
        <v>384123</v>
      </c>
      <c r="F291" s="104">
        <f t="shared" si="144"/>
        <v>0</v>
      </c>
      <c r="G291" s="104">
        <f t="shared" si="144"/>
        <v>384123</v>
      </c>
      <c r="H291" s="104">
        <f t="shared" si="144"/>
        <v>384123</v>
      </c>
      <c r="I291" s="104">
        <f t="shared" si="144"/>
        <v>0</v>
      </c>
      <c r="J291" s="27">
        <f t="shared" si="134"/>
        <v>1</v>
      </c>
    </row>
    <row r="292" spans="1:11" s="55" customFormat="1" ht="25.5">
      <c r="A292" s="475"/>
      <c r="B292" s="466"/>
      <c r="C292" s="49" t="s">
        <v>242</v>
      </c>
      <c r="D292" s="94">
        <f>SUM(E292:F292)</f>
        <v>97570</v>
      </c>
      <c r="E292" s="94">
        <v>97570</v>
      </c>
      <c r="F292" s="94">
        <v>0</v>
      </c>
      <c r="G292" s="94">
        <f>SUM(H292:I292)</f>
        <v>97570</v>
      </c>
      <c r="H292" s="94">
        <v>97570</v>
      </c>
      <c r="I292" s="94">
        <v>0</v>
      </c>
      <c r="J292" s="32">
        <f t="shared" si="134"/>
        <v>1</v>
      </c>
    </row>
    <row r="293" spans="1:11" ht="25.5">
      <c r="A293" s="475"/>
      <c r="B293" s="467"/>
      <c r="C293" s="49" t="s">
        <v>243</v>
      </c>
      <c r="D293" s="94">
        <f>SUM(E293:F293)</f>
        <v>286553</v>
      </c>
      <c r="E293" s="94">
        <v>286553</v>
      </c>
      <c r="F293" s="31">
        <v>0</v>
      </c>
      <c r="G293" s="94">
        <f>SUM(H293:I293)</f>
        <v>286553</v>
      </c>
      <c r="H293" s="94">
        <v>286553</v>
      </c>
      <c r="I293" s="94">
        <v>0</v>
      </c>
      <c r="J293" s="32">
        <f t="shared" si="134"/>
        <v>1</v>
      </c>
    </row>
    <row r="294" spans="1:11" s="34" customFormat="1" ht="25.5">
      <c r="A294" s="475"/>
      <c r="B294" s="87">
        <v>90019</v>
      </c>
      <c r="C294" s="105" t="s">
        <v>244</v>
      </c>
      <c r="D294" s="104">
        <f>SUM(D295:D297)</f>
        <v>36674</v>
      </c>
      <c r="E294" s="104">
        <f t="shared" ref="E294:I294" si="145">SUM(E295:E297)</f>
        <v>36674</v>
      </c>
      <c r="F294" s="104">
        <f t="shared" si="145"/>
        <v>0</v>
      </c>
      <c r="G294" s="104">
        <f t="shared" si="145"/>
        <v>49586</v>
      </c>
      <c r="H294" s="104">
        <f t="shared" si="145"/>
        <v>49586</v>
      </c>
      <c r="I294" s="104">
        <f t="shared" si="145"/>
        <v>0</v>
      </c>
      <c r="J294" s="27">
        <f t="shared" si="134"/>
        <v>1.3520750395375469</v>
      </c>
    </row>
    <row r="295" spans="1:11" ht="25.5">
      <c r="A295" s="475"/>
      <c r="B295" s="461"/>
      <c r="C295" s="49" t="s">
        <v>245</v>
      </c>
      <c r="D295" s="94">
        <f>SUM(E295:F295)</f>
        <v>20000</v>
      </c>
      <c r="E295" s="94">
        <v>20000</v>
      </c>
      <c r="F295" s="31">
        <v>0</v>
      </c>
      <c r="G295" s="94">
        <f>SUM(H295:I295)</f>
        <v>22857</v>
      </c>
      <c r="H295" s="94">
        <v>22857</v>
      </c>
      <c r="I295" s="94">
        <v>0</v>
      </c>
      <c r="J295" s="32">
        <f t="shared" si="134"/>
        <v>1.1428499999999999</v>
      </c>
    </row>
    <row r="296" spans="1:11">
      <c r="A296" s="475"/>
      <c r="B296" s="463"/>
      <c r="C296" s="49" t="s">
        <v>389</v>
      </c>
      <c r="D296" s="94">
        <f>SUM(E296:F296)</f>
        <v>2797</v>
      </c>
      <c r="E296" s="94">
        <v>2797</v>
      </c>
      <c r="F296" s="31">
        <v>0</v>
      </c>
      <c r="G296" s="94">
        <f>SUM(H296:I296)</f>
        <v>8474</v>
      </c>
      <c r="H296" s="94">
        <v>8474</v>
      </c>
      <c r="I296" s="94">
        <v>0</v>
      </c>
      <c r="J296" s="32">
        <f t="shared" ref="J296" si="146">G296/D296</f>
        <v>3.0296746514122272</v>
      </c>
    </row>
    <row r="297" spans="1:11" ht="25.5">
      <c r="A297" s="475"/>
      <c r="B297" s="462"/>
      <c r="C297" s="49" t="s">
        <v>390</v>
      </c>
      <c r="D297" s="94">
        <f>SUM(E297:F297)</f>
        <v>13877</v>
      </c>
      <c r="E297" s="94">
        <v>13877</v>
      </c>
      <c r="F297" s="31">
        <v>0</v>
      </c>
      <c r="G297" s="94">
        <f>SUM(H297:I297)</f>
        <v>18255</v>
      </c>
      <c r="H297" s="94">
        <v>18255</v>
      </c>
      <c r="I297" s="94">
        <v>0</v>
      </c>
      <c r="J297" s="32">
        <f t="shared" ref="J297" si="147">G297/D297</f>
        <v>1.3154860560639907</v>
      </c>
    </row>
    <row r="298" spans="1:11" s="34" customFormat="1" ht="25.5">
      <c r="A298" s="475"/>
      <c r="B298" s="87">
        <v>90020</v>
      </c>
      <c r="C298" s="105" t="s">
        <v>246</v>
      </c>
      <c r="D298" s="104">
        <f t="shared" ref="D298:I298" si="148">SUM(D299)</f>
        <v>10000</v>
      </c>
      <c r="E298" s="104">
        <f t="shared" si="148"/>
        <v>10000</v>
      </c>
      <c r="F298" s="104">
        <f t="shared" si="148"/>
        <v>0</v>
      </c>
      <c r="G298" s="104">
        <f t="shared" si="148"/>
        <v>5739</v>
      </c>
      <c r="H298" s="104">
        <f t="shared" si="148"/>
        <v>5739</v>
      </c>
      <c r="I298" s="104">
        <f t="shared" si="148"/>
        <v>0</v>
      </c>
      <c r="J298" s="27">
        <f t="shared" si="134"/>
        <v>0.57389999999999997</v>
      </c>
    </row>
    <row r="299" spans="1:11" ht="16.5" customHeight="1">
      <c r="A299" s="475"/>
      <c r="B299" s="18"/>
      <c r="C299" s="49" t="s">
        <v>247</v>
      </c>
      <c r="D299" s="94">
        <f>SUM(E299:F299)</f>
        <v>10000</v>
      </c>
      <c r="E299" s="94">
        <v>10000</v>
      </c>
      <c r="F299" s="31">
        <v>0</v>
      </c>
      <c r="G299" s="94">
        <f>SUM(H299:I299)</f>
        <v>5739</v>
      </c>
      <c r="H299" s="114">
        <v>5739</v>
      </c>
      <c r="I299" s="94">
        <v>0</v>
      </c>
      <c r="J299" s="32">
        <f t="shared" si="134"/>
        <v>0.57389999999999997</v>
      </c>
    </row>
    <row r="300" spans="1:11" s="34" customFormat="1" ht="25.5">
      <c r="A300" s="475"/>
      <c r="B300" s="87">
        <v>90024</v>
      </c>
      <c r="C300" s="105" t="s">
        <v>248</v>
      </c>
      <c r="D300" s="104">
        <f>SUM(D301:D302)</f>
        <v>1373</v>
      </c>
      <c r="E300" s="104">
        <f t="shared" ref="E300:I300" si="149">SUM(E301:E302)</f>
        <v>1373</v>
      </c>
      <c r="F300" s="104">
        <f t="shared" si="149"/>
        <v>0</v>
      </c>
      <c r="G300" s="104">
        <f t="shared" si="149"/>
        <v>4086</v>
      </c>
      <c r="H300" s="104">
        <f t="shared" si="149"/>
        <v>4086</v>
      </c>
      <c r="I300" s="104">
        <f t="shared" si="149"/>
        <v>0</v>
      </c>
      <c r="J300" s="32">
        <f t="shared" si="134"/>
        <v>2.9759650400582665</v>
      </c>
    </row>
    <row r="301" spans="1:11" ht="38.25">
      <c r="A301" s="475"/>
      <c r="B301" s="461"/>
      <c r="C301" s="96" t="s">
        <v>54</v>
      </c>
      <c r="D301" s="95">
        <f>SUM(E301:F301)</f>
        <v>0</v>
      </c>
      <c r="E301" s="95">
        <v>0</v>
      </c>
      <c r="F301" s="54">
        <v>0</v>
      </c>
      <c r="G301" s="95">
        <f>SUM(H301:I301)</f>
        <v>4086</v>
      </c>
      <c r="H301" s="95">
        <v>4086</v>
      </c>
      <c r="I301" s="95">
        <v>0</v>
      </c>
      <c r="J301" s="32"/>
      <c r="K301" s="325"/>
    </row>
    <row r="302" spans="1:11" ht="25.5">
      <c r="A302" s="475"/>
      <c r="B302" s="462"/>
      <c r="C302" s="96" t="s">
        <v>249</v>
      </c>
      <c r="D302" s="94">
        <f>SUM(E302:F302)</f>
        <v>1373</v>
      </c>
      <c r="E302" s="94">
        <v>1373</v>
      </c>
      <c r="F302" s="31">
        <v>0</v>
      </c>
      <c r="G302" s="94">
        <f>SUM(H302:I302)</f>
        <v>0</v>
      </c>
      <c r="H302" s="94">
        <v>0</v>
      </c>
      <c r="I302" s="94">
        <v>0</v>
      </c>
      <c r="J302" s="32">
        <f t="shared" si="134"/>
        <v>0</v>
      </c>
    </row>
    <row r="303" spans="1:11" s="34" customFormat="1" ht="15">
      <c r="A303" s="475"/>
      <c r="B303" s="87">
        <v>90095</v>
      </c>
      <c r="C303" s="105" t="s">
        <v>22</v>
      </c>
      <c r="D303" s="104">
        <f>SUM(D304:D305)</f>
        <v>45248</v>
      </c>
      <c r="E303" s="104">
        <f t="shared" ref="E303:I303" si="150">SUM(E304:E305)</f>
        <v>45248</v>
      </c>
      <c r="F303" s="104">
        <f t="shared" si="150"/>
        <v>0</v>
      </c>
      <c r="G303" s="104">
        <f t="shared" si="150"/>
        <v>45247</v>
      </c>
      <c r="H303" s="104">
        <f t="shared" si="150"/>
        <v>45247</v>
      </c>
      <c r="I303" s="104">
        <f t="shared" si="150"/>
        <v>0</v>
      </c>
      <c r="J303" s="27">
        <f t="shared" si="134"/>
        <v>0.99997789957567185</v>
      </c>
    </row>
    <row r="304" spans="1:11" ht="25.5">
      <c r="A304" s="475"/>
      <c r="B304" s="461"/>
      <c r="C304" s="49" t="s">
        <v>242</v>
      </c>
      <c r="D304" s="94">
        <f>SUM(E304:F304)</f>
        <v>24251</v>
      </c>
      <c r="E304" s="94">
        <v>24251</v>
      </c>
      <c r="F304" s="31">
        <v>0</v>
      </c>
      <c r="G304" s="94">
        <f>SUM(H304:I304)</f>
        <v>24250</v>
      </c>
      <c r="H304" s="94">
        <v>24250</v>
      </c>
      <c r="I304" s="94">
        <v>0</v>
      </c>
      <c r="J304" s="32">
        <f t="shared" si="134"/>
        <v>0.99995876458702737</v>
      </c>
    </row>
    <row r="305" spans="1:10" ht="25.5">
      <c r="A305" s="476"/>
      <c r="B305" s="462"/>
      <c r="C305" s="49" t="s">
        <v>243</v>
      </c>
      <c r="D305" s="94">
        <f>SUM(E305:F305)</f>
        <v>20997</v>
      </c>
      <c r="E305" s="94">
        <v>20997</v>
      </c>
      <c r="F305" s="31">
        <v>0</v>
      </c>
      <c r="G305" s="94">
        <f>SUM(H305:I305)</f>
        <v>20997</v>
      </c>
      <c r="H305" s="94">
        <v>20997</v>
      </c>
      <c r="I305" s="94">
        <v>0</v>
      </c>
      <c r="J305" s="32">
        <f t="shared" ref="J305" si="151">G305/D305</f>
        <v>1</v>
      </c>
    </row>
    <row r="306" spans="1:10">
      <c r="A306" s="91">
        <v>921</v>
      </c>
      <c r="B306" s="91"/>
      <c r="C306" s="110" t="s">
        <v>250</v>
      </c>
      <c r="D306" s="103">
        <f t="shared" ref="D306:I306" si="152">SUM(D307,D310,D312,D315,D317,D321,D324,D329)</f>
        <v>7047631</v>
      </c>
      <c r="E306" s="103">
        <f t="shared" si="152"/>
        <v>3308325</v>
      </c>
      <c r="F306" s="103">
        <f t="shared" si="152"/>
        <v>3739306</v>
      </c>
      <c r="G306" s="103">
        <f t="shared" si="152"/>
        <v>6983139</v>
      </c>
      <c r="H306" s="103">
        <f t="shared" si="152"/>
        <v>3308816</v>
      </c>
      <c r="I306" s="103">
        <f t="shared" si="152"/>
        <v>3674323</v>
      </c>
      <c r="J306" s="22">
        <f t="shared" si="134"/>
        <v>0.99084912362749977</v>
      </c>
    </row>
    <row r="307" spans="1:10" s="34" customFormat="1" ht="15">
      <c r="A307" s="465"/>
      <c r="B307" s="87">
        <v>92105</v>
      </c>
      <c r="C307" s="105" t="s">
        <v>251</v>
      </c>
      <c r="D307" s="104">
        <f>SUM(D308:D309)</f>
        <v>1854</v>
      </c>
      <c r="E307" s="104">
        <f t="shared" ref="E307:I307" si="153">SUM(E308:E309)</f>
        <v>1854</v>
      </c>
      <c r="F307" s="104">
        <f t="shared" si="153"/>
        <v>0</v>
      </c>
      <c r="G307" s="104">
        <f t="shared" si="153"/>
        <v>2347</v>
      </c>
      <c r="H307" s="104">
        <f t="shared" si="153"/>
        <v>2347</v>
      </c>
      <c r="I307" s="104">
        <f t="shared" si="153"/>
        <v>0</v>
      </c>
      <c r="J307" s="27">
        <f t="shared" si="134"/>
        <v>1.2659115426105718</v>
      </c>
    </row>
    <row r="308" spans="1:10" ht="38.25">
      <c r="A308" s="465"/>
      <c r="B308" s="461"/>
      <c r="C308" s="49" t="s">
        <v>459</v>
      </c>
      <c r="D308" s="94">
        <f>SUM(E308:F308)</f>
        <v>44</v>
      </c>
      <c r="E308" s="94">
        <v>44</v>
      </c>
      <c r="F308" s="31">
        <v>0</v>
      </c>
      <c r="G308" s="94">
        <f>SUM(H308:I308)</f>
        <v>537</v>
      </c>
      <c r="H308" s="94">
        <v>537</v>
      </c>
      <c r="I308" s="94">
        <v>0</v>
      </c>
      <c r="J308" s="32">
        <f t="shared" si="134"/>
        <v>12.204545454545455</v>
      </c>
    </row>
    <row r="309" spans="1:10" ht="38.25">
      <c r="A309" s="465"/>
      <c r="B309" s="472"/>
      <c r="C309" s="49" t="s">
        <v>252</v>
      </c>
      <c r="D309" s="94">
        <f>SUM(E309:F309)</f>
        <v>1810</v>
      </c>
      <c r="E309" s="94">
        <v>1810</v>
      </c>
      <c r="F309" s="31">
        <v>0</v>
      </c>
      <c r="G309" s="94">
        <f>SUM(H309:I309)</f>
        <v>1810</v>
      </c>
      <c r="H309" s="94">
        <v>1810</v>
      </c>
      <c r="I309" s="94">
        <v>0</v>
      </c>
      <c r="J309" s="32">
        <f t="shared" si="134"/>
        <v>1</v>
      </c>
    </row>
    <row r="310" spans="1:10" s="34" customFormat="1" ht="15">
      <c r="A310" s="465"/>
      <c r="B310" s="87">
        <v>92106</v>
      </c>
      <c r="C310" s="105" t="s">
        <v>253</v>
      </c>
      <c r="D310" s="104">
        <f t="shared" ref="D310:I310" si="154">SUM(D311:D311)</f>
        <v>40000</v>
      </c>
      <c r="E310" s="104">
        <f t="shared" si="154"/>
        <v>40000</v>
      </c>
      <c r="F310" s="104">
        <f t="shared" si="154"/>
        <v>0</v>
      </c>
      <c r="G310" s="104">
        <f t="shared" si="154"/>
        <v>40000</v>
      </c>
      <c r="H310" s="104">
        <f t="shared" si="154"/>
        <v>40000</v>
      </c>
      <c r="I310" s="104">
        <f t="shared" si="154"/>
        <v>0</v>
      </c>
      <c r="J310" s="27">
        <f t="shared" si="134"/>
        <v>1</v>
      </c>
    </row>
    <row r="311" spans="1:10" ht="27.75" customHeight="1">
      <c r="A311" s="465"/>
      <c r="B311" s="18"/>
      <c r="C311" s="49" t="s">
        <v>254</v>
      </c>
      <c r="D311" s="94">
        <f>SUM(E311:F311)</f>
        <v>40000</v>
      </c>
      <c r="E311" s="94">
        <v>40000</v>
      </c>
      <c r="F311" s="31">
        <v>0</v>
      </c>
      <c r="G311" s="94">
        <f>SUM(H311:I311)</f>
        <v>40000</v>
      </c>
      <c r="H311" s="94">
        <v>40000</v>
      </c>
      <c r="I311" s="94">
        <v>0</v>
      </c>
      <c r="J311" s="32">
        <f t="shared" si="134"/>
        <v>1</v>
      </c>
    </row>
    <row r="312" spans="1:10" s="34" customFormat="1" ht="15">
      <c r="A312" s="465"/>
      <c r="B312" s="87">
        <v>92108</v>
      </c>
      <c r="C312" s="105" t="s">
        <v>255</v>
      </c>
      <c r="D312" s="104">
        <f>SUM(D313:D314)</f>
        <v>3332103</v>
      </c>
      <c r="E312" s="104">
        <f t="shared" ref="E312:I312" si="155">SUM(E313:E314)</f>
        <v>115000</v>
      </c>
      <c r="F312" s="104">
        <f t="shared" si="155"/>
        <v>3217103</v>
      </c>
      <c r="G312" s="104">
        <f t="shared" si="155"/>
        <v>3332103</v>
      </c>
      <c r="H312" s="104">
        <f t="shared" si="155"/>
        <v>115000</v>
      </c>
      <c r="I312" s="104">
        <f t="shared" si="155"/>
        <v>3217103</v>
      </c>
      <c r="J312" s="27">
        <f t="shared" si="134"/>
        <v>1</v>
      </c>
    </row>
    <row r="313" spans="1:10" ht="32.25" customHeight="1">
      <c r="A313" s="465"/>
      <c r="B313" s="461"/>
      <c r="C313" s="49" t="s">
        <v>254</v>
      </c>
      <c r="D313" s="94">
        <f>SUM(E313:F313)</f>
        <v>115000</v>
      </c>
      <c r="E313" s="94">
        <v>115000</v>
      </c>
      <c r="F313" s="31">
        <v>0</v>
      </c>
      <c r="G313" s="94">
        <f>SUM(H313:I313)</f>
        <v>115000</v>
      </c>
      <c r="H313" s="94">
        <v>115000</v>
      </c>
      <c r="I313" s="94">
        <v>0</v>
      </c>
      <c r="J313" s="32">
        <f t="shared" si="134"/>
        <v>1</v>
      </c>
    </row>
    <row r="314" spans="1:10" ht="42" customHeight="1">
      <c r="A314" s="471"/>
      <c r="B314" s="462"/>
      <c r="C314" s="49" t="s">
        <v>252</v>
      </c>
      <c r="D314" s="94">
        <f>SUM(E314:F314)</f>
        <v>3217103</v>
      </c>
      <c r="E314" s="94">
        <v>0</v>
      </c>
      <c r="F314" s="31">
        <v>3217103</v>
      </c>
      <c r="G314" s="94">
        <f>SUM(H314:I314)</f>
        <v>3217103</v>
      </c>
      <c r="H314" s="94">
        <v>0</v>
      </c>
      <c r="I314" s="94">
        <v>3217103</v>
      </c>
      <c r="J314" s="32">
        <f t="shared" ref="J314" si="156">G314/D314</f>
        <v>1</v>
      </c>
    </row>
    <row r="315" spans="1:10" s="34" customFormat="1" ht="15">
      <c r="A315" s="465"/>
      <c r="B315" s="87">
        <v>92109</v>
      </c>
      <c r="C315" s="105" t="s">
        <v>256</v>
      </c>
      <c r="D315" s="104">
        <f t="shared" ref="D315:I315" si="157">SUM(D316:D316)</f>
        <v>40000</v>
      </c>
      <c r="E315" s="104">
        <f t="shared" si="157"/>
        <v>40000</v>
      </c>
      <c r="F315" s="104">
        <f t="shared" si="157"/>
        <v>0</v>
      </c>
      <c r="G315" s="104">
        <f t="shared" si="157"/>
        <v>40000</v>
      </c>
      <c r="H315" s="104">
        <f t="shared" si="157"/>
        <v>40000</v>
      </c>
      <c r="I315" s="104">
        <f t="shared" si="157"/>
        <v>0</v>
      </c>
      <c r="J315" s="27">
        <f t="shared" si="134"/>
        <v>1</v>
      </c>
    </row>
    <row r="316" spans="1:10" ht="28.5" customHeight="1">
      <c r="A316" s="465"/>
      <c r="B316" s="320"/>
      <c r="C316" s="49" t="s">
        <v>254</v>
      </c>
      <c r="D316" s="94">
        <f>SUM(E316:F316)</f>
        <v>40000</v>
      </c>
      <c r="E316" s="94">
        <v>40000</v>
      </c>
      <c r="F316" s="31">
        <v>0</v>
      </c>
      <c r="G316" s="94">
        <f>SUM(H316:I316)</f>
        <v>40000</v>
      </c>
      <c r="H316" s="94">
        <v>40000</v>
      </c>
      <c r="I316" s="94">
        <v>0</v>
      </c>
      <c r="J316" s="32">
        <f t="shared" si="134"/>
        <v>1</v>
      </c>
    </row>
    <row r="317" spans="1:10" s="34" customFormat="1" ht="15">
      <c r="A317" s="465"/>
      <c r="B317" s="87">
        <v>92116</v>
      </c>
      <c r="C317" s="105" t="s">
        <v>257</v>
      </c>
      <c r="D317" s="104">
        <f>SUM(D318:D320)</f>
        <v>3102600</v>
      </c>
      <c r="E317" s="104">
        <f t="shared" ref="E317:I317" si="158">SUM(E318:E320)</f>
        <v>3094600</v>
      </c>
      <c r="F317" s="104">
        <f t="shared" si="158"/>
        <v>8000</v>
      </c>
      <c r="G317" s="104">
        <f t="shared" si="158"/>
        <v>3102600</v>
      </c>
      <c r="H317" s="104">
        <f t="shared" si="158"/>
        <v>3094600</v>
      </c>
      <c r="I317" s="104">
        <f t="shared" si="158"/>
        <v>8000</v>
      </c>
      <c r="J317" s="27">
        <f t="shared" si="134"/>
        <v>1</v>
      </c>
    </row>
    <row r="318" spans="1:10" ht="38.25">
      <c r="A318" s="465"/>
      <c r="B318" s="461"/>
      <c r="C318" s="49" t="s">
        <v>258</v>
      </c>
      <c r="D318" s="94">
        <f>SUM(E318:F318)</f>
        <v>3024600</v>
      </c>
      <c r="E318" s="94">
        <v>3024600</v>
      </c>
      <c r="F318" s="31">
        <v>0</v>
      </c>
      <c r="G318" s="94">
        <f>SUM(H318:I318)</f>
        <v>3024600</v>
      </c>
      <c r="H318" s="94">
        <v>3024600</v>
      </c>
      <c r="I318" s="94">
        <v>0</v>
      </c>
      <c r="J318" s="32">
        <f t="shared" si="134"/>
        <v>1</v>
      </c>
    </row>
    <row r="319" spans="1:10" ht="38.25">
      <c r="A319" s="465"/>
      <c r="B319" s="463"/>
      <c r="C319" s="49" t="s">
        <v>259</v>
      </c>
      <c r="D319" s="94">
        <f>SUM(E319:F319)</f>
        <v>70000</v>
      </c>
      <c r="E319" s="94">
        <v>70000</v>
      </c>
      <c r="F319" s="31">
        <v>0</v>
      </c>
      <c r="G319" s="94">
        <f>SUM(H319:I319)</f>
        <v>70000</v>
      </c>
      <c r="H319" s="94">
        <v>70000</v>
      </c>
      <c r="I319" s="94">
        <v>0</v>
      </c>
      <c r="J319" s="32">
        <f t="shared" si="134"/>
        <v>1</v>
      </c>
    </row>
    <row r="320" spans="1:10" ht="38.25">
      <c r="A320" s="471"/>
      <c r="B320" s="462"/>
      <c r="C320" s="49" t="s">
        <v>391</v>
      </c>
      <c r="D320" s="94">
        <f>SUM(E320:F320)</f>
        <v>8000</v>
      </c>
      <c r="E320" s="94">
        <v>0</v>
      </c>
      <c r="F320" s="31">
        <v>8000</v>
      </c>
      <c r="G320" s="94">
        <f>SUM(H320:I320)</f>
        <v>8000</v>
      </c>
      <c r="H320" s="94">
        <v>0</v>
      </c>
      <c r="I320" s="94">
        <v>8000</v>
      </c>
      <c r="J320" s="32">
        <f t="shared" si="134"/>
        <v>1</v>
      </c>
    </row>
    <row r="321" spans="1:10" s="34" customFormat="1" ht="15">
      <c r="A321" s="465"/>
      <c r="B321" s="87">
        <v>92118</v>
      </c>
      <c r="C321" s="105" t="s">
        <v>260</v>
      </c>
      <c r="D321" s="104">
        <f t="shared" ref="D321:I321" si="159">SUM(D322:D323)</f>
        <v>529002</v>
      </c>
      <c r="E321" s="104">
        <f t="shared" si="159"/>
        <v>15000</v>
      </c>
      <c r="F321" s="104">
        <f t="shared" si="159"/>
        <v>514002</v>
      </c>
      <c r="G321" s="104">
        <f t="shared" si="159"/>
        <v>464020</v>
      </c>
      <c r="H321" s="104">
        <f t="shared" si="159"/>
        <v>15000</v>
      </c>
      <c r="I321" s="104">
        <f t="shared" si="159"/>
        <v>449020</v>
      </c>
      <c r="J321" s="27">
        <f>G321/D321</f>
        <v>0.87716114494841224</v>
      </c>
    </row>
    <row r="322" spans="1:10" ht="26.25" customHeight="1">
      <c r="A322" s="465"/>
      <c r="B322" s="473"/>
      <c r="C322" s="49" t="s">
        <v>254</v>
      </c>
      <c r="D322" s="94">
        <f>SUM(E322:F322)</f>
        <v>15000</v>
      </c>
      <c r="E322" s="94">
        <v>15000</v>
      </c>
      <c r="F322" s="31">
        <v>0</v>
      </c>
      <c r="G322" s="94">
        <f>SUM(H322:I322)</f>
        <v>15000</v>
      </c>
      <c r="H322" s="94">
        <v>15000</v>
      </c>
      <c r="I322" s="94">
        <v>0</v>
      </c>
      <c r="J322" s="32">
        <f t="shared" ref="J322:J341" si="160">G322/D322</f>
        <v>1</v>
      </c>
    </row>
    <row r="323" spans="1:10" ht="38.25">
      <c r="A323" s="465"/>
      <c r="B323" s="473"/>
      <c r="C323" s="49" t="s">
        <v>252</v>
      </c>
      <c r="D323" s="94">
        <f>SUM(E323:F323)</f>
        <v>514002</v>
      </c>
      <c r="E323" s="94">
        <v>0</v>
      </c>
      <c r="F323" s="31">
        <v>514002</v>
      </c>
      <c r="G323" s="94">
        <f>SUM(H323:I323)</f>
        <v>449020</v>
      </c>
      <c r="H323" s="94">
        <v>0</v>
      </c>
      <c r="I323" s="94">
        <v>449020</v>
      </c>
      <c r="J323" s="32">
        <f t="shared" si="160"/>
        <v>0.87357636740713074</v>
      </c>
    </row>
    <row r="324" spans="1:10">
      <c r="A324" s="465"/>
      <c r="B324" s="87">
        <v>92120</v>
      </c>
      <c r="C324" s="105" t="s">
        <v>261</v>
      </c>
      <c r="D324" s="104">
        <f>SUM(D325:D328)</f>
        <v>1447</v>
      </c>
      <c r="E324" s="104">
        <f t="shared" ref="E324:I324" si="161">SUM(E325:E328)</f>
        <v>1282</v>
      </c>
      <c r="F324" s="104">
        <f t="shared" si="161"/>
        <v>165</v>
      </c>
      <c r="G324" s="104">
        <f t="shared" si="161"/>
        <v>1445</v>
      </c>
      <c r="H324" s="104">
        <f t="shared" si="161"/>
        <v>1281</v>
      </c>
      <c r="I324" s="104">
        <f t="shared" si="161"/>
        <v>164</v>
      </c>
      <c r="J324" s="27">
        <f t="shared" si="160"/>
        <v>0.99861782999308912</v>
      </c>
    </row>
    <row r="325" spans="1:10" s="117" customFormat="1" ht="38.25">
      <c r="A325" s="465"/>
      <c r="B325" s="465"/>
      <c r="C325" s="49" t="s">
        <v>459</v>
      </c>
      <c r="D325" s="94">
        <f>SUM(E325:F325)</f>
        <v>60</v>
      </c>
      <c r="E325" s="94">
        <v>60</v>
      </c>
      <c r="F325" s="94">
        <v>0</v>
      </c>
      <c r="G325" s="94">
        <f>SUM(H325:I325)</f>
        <v>60</v>
      </c>
      <c r="H325" s="94">
        <v>60</v>
      </c>
      <c r="I325" s="94">
        <v>0</v>
      </c>
      <c r="J325" s="32">
        <f t="shared" si="160"/>
        <v>1</v>
      </c>
    </row>
    <row r="326" spans="1:10" ht="38.25">
      <c r="A326" s="465"/>
      <c r="B326" s="465"/>
      <c r="C326" s="49" t="s">
        <v>252</v>
      </c>
      <c r="D326" s="94">
        <f>SUM(E326:F326)</f>
        <v>1188</v>
      </c>
      <c r="E326" s="94">
        <v>1188</v>
      </c>
      <c r="F326" s="31">
        <v>0</v>
      </c>
      <c r="G326" s="94">
        <f>SUM(H326:I326)</f>
        <v>1187</v>
      </c>
      <c r="H326" s="94">
        <v>1187</v>
      </c>
      <c r="I326" s="94">
        <v>0</v>
      </c>
      <c r="J326" s="32">
        <f t="shared" si="160"/>
        <v>0.99915824915824913</v>
      </c>
    </row>
    <row r="327" spans="1:10" ht="51">
      <c r="A327" s="465"/>
      <c r="B327" s="465"/>
      <c r="C327" s="48" t="s">
        <v>87</v>
      </c>
      <c r="D327" s="94">
        <f>SUM(E327:F327)</f>
        <v>165</v>
      </c>
      <c r="E327" s="94">
        <v>0</v>
      </c>
      <c r="F327" s="31">
        <v>165</v>
      </c>
      <c r="G327" s="94">
        <f>SUM(H327:I327)</f>
        <v>164</v>
      </c>
      <c r="H327" s="94">
        <v>0</v>
      </c>
      <c r="I327" s="94">
        <v>164</v>
      </c>
      <c r="J327" s="32">
        <f t="shared" si="160"/>
        <v>0.9939393939393939</v>
      </c>
    </row>
    <row r="328" spans="1:10" ht="63.75">
      <c r="A328" s="471"/>
      <c r="B328" s="324"/>
      <c r="C328" s="48" t="s">
        <v>447</v>
      </c>
      <c r="D328" s="94">
        <f>SUM(E328:F328)</f>
        <v>34</v>
      </c>
      <c r="E328" s="94">
        <v>34</v>
      </c>
      <c r="F328" s="31">
        <v>0</v>
      </c>
      <c r="G328" s="94">
        <f>SUM(H328:I328)</f>
        <v>34</v>
      </c>
      <c r="H328" s="94">
        <v>34</v>
      </c>
      <c r="I328" s="94">
        <v>0</v>
      </c>
      <c r="J328" s="32">
        <f t="shared" ref="J328" si="162">G328/D328</f>
        <v>1</v>
      </c>
    </row>
    <row r="329" spans="1:10">
      <c r="A329" s="465"/>
      <c r="B329" s="87">
        <v>92195</v>
      </c>
      <c r="C329" s="105" t="s">
        <v>22</v>
      </c>
      <c r="D329" s="104">
        <f t="shared" ref="D329:I329" si="163">SUM(D330:D331)</f>
        <v>625</v>
      </c>
      <c r="E329" s="104">
        <f t="shared" si="163"/>
        <v>589</v>
      </c>
      <c r="F329" s="104">
        <f t="shared" si="163"/>
        <v>36</v>
      </c>
      <c r="G329" s="104">
        <f t="shared" si="163"/>
        <v>624</v>
      </c>
      <c r="H329" s="104">
        <f t="shared" si="163"/>
        <v>588</v>
      </c>
      <c r="I329" s="104">
        <f t="shared" si="163"/>
        <v>36</v>
      </c>
      <c r="J329" s="27">
        <f t="shared" si="160"/>
        <v>0.99839999999999995</v>
      </c>
    </row>
    <row r="330" spans="1:10" s="117" customFormat="1" ht="63.75">
      <c r="A330" s="465"/>
      <c r="B330" s="465"/>
      <c r="C330" s="48" t="s">
        <v>447</v>
      </c>
      <c r="D330" s="94">
        <f>SUM(E330:F330)</f>
        <v>589</v>
      </c>
      <c r="E330" s="94">
        <v>589</v>
      </c>
      <c r="F330" s="94">
        <v>0</v>
      </c>
      <c r="G330" s="94">
        <f>SUM(H330:I330)</f>
        <v>588</v>
      </c>
      <c r="H330" s="94">
        <v>588</v>
      </c>
      <c r="I330" s="94">
        <v>0</v>
      </c>
      <c r="J330" s="32">
        <f t="shared" si="160"/>
        <v>0.99830220713073003</v>
      </c>
    </row>
    <row r="331" spans="1:10" ht="51">
      <c r="A331" s="465"/>
      <c r="B331" s="465"/>
      <c r="C331" s="48" t="s">
        <v>87</v>
      </c>
      <c r="D331" s="94">
        <f>SUM(E331:F331)</f>
        <v>36</v>
      </c>
      <c r="E331" s="94">
        <v>0</v>
      </c>
      <c r="F331" s="31">
        <v>36</v>
      </c>
      <c r="G331" s="94">
        <f>SUM(H331:I331)</f>
        <v>36</v>
      </c>
      <c r="H331" s="94">
        <v>0</v>
      </c>
      <c r="I331" s="94">
        <v>36</v>
      </c>
      <c r="J331" s="32">
        <f t="shared" si="160"/>
        <v>1</v>
      </c>
    </row>
    <row r="332" spans="1:10" s="23" customFormat="1" ht="25.5">
      <c r="A332" s="91">
        <v>925</v>
      </c>
      <c r="B332" s="91"/>
      <c r="C332" s="110" t="s">
        <v>262</v>
      </c>
      <c r="D332" s="103">
        <f t="shared" ref="D332:I332" si="164">SUM(D333)</f>
        <v>825441</v>
      </c>
      <c r="E332" s="103">
        <f t="shared" si="164"/>
        <v>825441</v>
      </c>
      <c r="F332" s="103">
        <f t="shared" si="164"/>
        <v>0</v>
      </c>
      <c r="G332" s="103">
        <f t="shared" si="164"/>
        <v>825360</v>
      </c>
      <c r="H332" s="103">
        <f t="shared" si="164"/>
        <v>825360</v>
      </c>
      <c r="I332" s="103">
        <f t="shared" si="164"/>
        <v>0</v>
      </c>
      <c r="J332" s="22">
        <f t="shared" si="160"/>
        <v>0.99990187063642344</v>
      </c>
    </row>
    <row r="333" spans="1:10" s="62" customFormat="1" ht="15">
      <c r="A333" s="468"/>
      <c r="B333" s="80">
        <v>92502</v>
      </c>
      <c r="C333" s="81" t="s">
        <v>263</v>
      </c>
      <c r="D333" s="100">
        <f>SUM(D334:D335)</f>
        <v>825441</v>
      </c>
      <c r="E333" s="100">
        <f t="shared" ref="E333:I333" si="165">SUM(E334:E335)</f>
        <v>825441</v>
      </c>
      <c r="F333" s="100">
        <f t="shared" si="165"/>
        <v>0</v>
      </c>
      <c r="G333" s="100">
        <f t="shared" si="165"/>
        <v>825360</v>
      </c>
      <c r="H333" s="100">
        <f t="shared" si="165"/>
        <v>825360</v>
      </c>
      <c r="I333" s="100">
        <f t="shared" si="165"/>
        <v>0</v>
      </c>
      <c r="J333" s="63">
        <f t="shared" si="160"/>
        <v>0.99990187063642344</v>
      </c>
    </row>
    <row r="334" spans="1:10" s="85" customFormat="1" ht="25.5">
      <c r="A334" s="468"/>
      <c r="B334" s="469"/>
      <c r="C334" s="57" t="s">
        <v>171</v>
      </c>
      <c r="D334" s="54">
        <f>SUM(E334:F334)</f>
        <v>808991</v>
      </c>
      <c r="E334" s="54">
        <v>808991</v>
      </c>
      <c r="F334" s="54">
        <v>0</v>
      </c>
      <c r="G334" s="54">
        <f>SUM(H334:I334)</f>
        <v>808910</v>
      </c>
      <c r="H334" s="54">
        <v>808910</v>
      </c>
      <c r="I334" s="54">
        <v>0</v>
      </c>
      <c r="J334" s="63">
        <f t="shared" si="160"/>
        <v>0.99989987527673363</v>
      </c>
    </row>
    <row r="335" spans="1:10" s="85" customFormat="1" ht="25.5">
      <c r="A335" s="468"/>
      <c r="B335" s="470"/>
      <c r="C335" s="49" t="s">
        <v>243</v>
      </c>
      <c r="D335" s="54">
        <f>SUM(E335:F335)</f>
        <v>16450</v>
      </c>
      <c r="E335" s="54">
        <v>16450</v>
      </c>
      <c r="F335" s="54">
        <v>0</v>
      </c>
      <c r="G335" s="54">
        <f>SUM(H335:I335)</f>
        <v>16450</v>
      </c>
      <c r="H335" s="54">
        <v>16450</v>
      </c>
      <c r="I335" s="54">
        <v>0</v>
      </c>
      <c r="J335" s="63">
        <f t="shared" si="160"/>
        <v>1</v>
      </c>
    </row>
    <row r="336" spans="1:10" s="119" customFormat="1">
      <c r="A336" s="91">
        <v>926</v>
      </c>
      <c r="B336" s="91"/>
      <c r="C336" s="20" t="s">
        <v>264</v>
      </c>
      <c r="D336" s="21">
        <f>SUM(D339,D337)</f>
        <v>16238</v>
      </c>
      <c r="E336" s="21">
        <f t="shared" ref="E336:I336" si="166">SUM(E339,E337)</f>
        <v>16238</v>
      </c>
      <c r="F336" s="21">
        <f t="shared" si="166"/>
        <v>0</v>
      </c>
      <c r="G336" s="21">
        <f t="shared" si="166"/>
        <v>24543</v>
      </c>
      <c r="H336" s="21">
        <f t="shared" si="166"/>
        <v>24543</v>
      </c>
      <c r="I336" s="21">
        <f t="shared" si="166"/>
        <v>0</v>
      </c>
      <c r="J336" s="118">
        <f t="shared" si="160"/>
        <v>1.5114546126370243</v>
      </c>
    </row>
    <row r="337" spans="1:10" s="34" customFormat="1" ht="15">
      <c r="A337" s="474"/>
      <c r="B337" s="317">
        <v>92601</v>
      </c>
      <c r="C337" s="25" t="s">
        <v>384</v>
      </c>
      <c r="D337" s="26">
        <f>SUM(D338)</f>
        <v>0</v>
      </c>
      <c r="E337" s="26">
        <f t="shared" ref="E337:I337" si="167">SUM(E338)</f>
        <v>0</v>
      </c>
      <c r="F337" s="26">
        <f t="shared" si="167"/>
        <v>0</v>
      </c>
      <c r="G337" s="26">
        <f t="shared" si="167"/>
        <v>7970</v>
      </c>
      <c r="H337" s="26">
        <f t="shared" si="167"/>
        <v>7970</v>
      </c>
      <c r="I337" s="26">
        <f t="shared" si="167"/>
        <v>0</v>
      </c>
      <c r="J337" s="63"/>
    </row>
    <row r="338" spans="1:10" ht="38.25">
      <c r="A338" s="475"/>
      <c r="B338" s="321"/>
      <c r="C338" s="49" t="s">
        <v>405</v>
      </c>
      <c r="D338" s="31">
        <f>SUM(E338:F338)</f>
        <v>0</v>
      </c>
      <c r="E338" s="31">
        <v>0</v>
      </c>
      <c r="F338" s="31">
        <v>0</v>
      </c>
      <c r="G338" s="31">
        <f>SUM(H338:I338)</f>
        <v>7970</v>
      </c>
      <c r="H338" s="31">
        <v>7970</v>
      </c>
      <c r="I338" s="31">
        <v>0</v>
      </c>
      <c r="J338" s="63"/>
    </row>
    <row r="339" spans="1:10" s="34" customFormat="1" ht="15">
      <c r="A339" s="475"/>
      <c r="B339" s="87">
        <v>92605</v>
      </c>
      <c r="C339" s="25" t="s">
        <v>265</v>
      </c>
      <c r="D339" s="26">
        <f>SUM(D340:D342)</f>
        <v>16238</v>
      </c>
      <c r="E339" s="26">
        <f t="shared" ref="E339:I339" si="168">SUM(E340:E342)</f>
        <v>16238</v>
      </c>
      <c r="F339" s="26">
        <f t="shared" si="168"/>
        <v>0</v>
      </c>
      <c r="G339" s="26">
        <f t="shared" si="168"/>
        <v>16573</v>
      </c>
      <c r="H339" s="26">
        <f t="shared" si="168"/>
        <v>16573</v>
      </c>
      <c r="I339" s="26">
        <f t="shared" si="168"/>
        <v>0</v>
      </c>
      <c r="J339" s="63">
        <f t="shared" si="160"/>
        <v>1.0206306195344255</v>
      </c>
    </row>
    <row r="340" spans="1:10" ht="38.25">
      <c r="A340" s="475"/>
      <c r="B340" s="461"/>
      <c r="C340" s="49" t="s">
        <v>460</v>
      </c>
      <c r="D340" s="31">
        <f>SUM(E340:F340)</f>
        <v>472</v>
      </c>
      <c r="E340" s="31">
        <v>472</v>
      </c>
      <c r="F340" s="31">
        <v>0</v>
      </c>
      <c r="G340" s="31">
        <f>SUM(H340:I340)</f>
        <v>658</v>
      </c>
      <c r="H340" s="31">
        <v>658</v>
      </c>
      <c r="I340" s="31">
        <v>0</v>
      </c>
      <c r="J340" s="63">
        <f t="shared" si="160"/>
        <v>1.3940677966101696</v>
      </c>
    </row>
    <row r="341" spans="1:10" ht="29.25" customHeight="1">
      <c r="A341" s="475"/>
      <c r="B341" s="463"/>
      <c r="C341" s="49" t="s">
        <v>170</v>
      </c>
      <c r="D341" s="31">
        <f>SUM(E341:F341)</f>
        <v>15766</v>
      </c>
      <c r="E341" s="94">
        <v>15766</v>
      </c>
      <c r="F341" s="94">
        <v>0</v>
      </c>
      <c r="G341" s="31">
        <f>SUM(H341:I341)</f>
        <v>15765</v>
      </c>
      <c r="H341" s="94">
        <v>15765</v>
      </c>
      <c r="I341" s="94">
        <v>0</v>
      </c>
      <c r="J341" s="63">
        <f t="shared" si="160"/>
        <v>0.99993657237092481</v>
      </c>
    </row>
    <row r="342" spans="1:10" ht="25.5">
      <c r="A342" s="476"/>
      <c r="B342" s="462"/>
      <c r="C342" s="49" t="s">
        <v>404</v>
      </c>
      <c r="D342" s="31">
        <f>SUM(E342:F342)</f>
        <v>0</v>
      </c>
      <c r="E342" s="31">
        <v>0</v>
      </c>
      <c r="F342" s="31">
        <v>0</v>
      </c>
      <c r="G342" s="31">
        <f>SUM(H342:I342)</f>
        <v>150</v>
      </c>
      <c r="H342" s="31">
        <v>150</v>
      </c>
      <c r="I342" s="31">
        <v>0</v>
      </c>
      <c r="J342" s="63"/>
    </row>
    <row r="343" spans="1:10" s="122" customFormat="1" ht="23.25" customHeight="1">
      <c r="A343" s="464" t="s">
        <v>267</v>
      </c>
      <c r="B343" s="464"/>
      <c r="C343" s="464"/>
      <c r="D343" s="120">
        <f t="shared" ref="D343:I343" si="169">SUM(D336,D332,D306,D285,D276,D255,D235,D219,D215,D189,D171,D164,D161,D133,D130,D125,D111,D96,D93,D67,D63,D50,D45,D10)</f>
        <v>929960209</v>
      </c>
      <c r="E343" s="120">
        <f t="shared" si="169"/>
        <v>658985549</v>
      </c>
      <c r="F343" s="120">
        <f t="shared" si="169"/>
        <v>270974660</v>
      </c>
      <c r="G343" s="120">
        <f t="shared" si="169"/>
        <v>871599354</v>
      </c>
      <c r="H343" s="120">
        <f t="shared" si="169"/>
        <v>651417388</v>
      </c>
      <c r="I343" s="120">
        <f t="shared" si="169"/>
        <v>220181966</v>
      </c>
      <c r="J343" s="121">
        <f>G343/D343</f>
        <v>0.93724370738103269</v>
      </c>
    </row>
    <row r="344" spans="1:10">
      <c r="A344" s="123"/>
      <c r="B344" s="123"/>
      <c r="C344" s="124"/>
      <c r="D344" s="16"/>
      <c r="E344" s="16"/>
      <c r="F344" s="16"/>
      <c r="G344" s="125"/>
      <c r="H344" s="125"/>
      <c r="I344" s="125"/>
      <c r="J344" s="378"/>
    </row>
    <row r="345" spans="1:10">
      <c r="D345" s="126"/>
      <c r="E345" s="126"/>
      <c r="F345" s="126"/>
      <c r="G345" s="126"/>
      <c r="H345" s="126"/>
      <c r="I345" s="126"/>
    </row>
    <row r="346" spans="1:10">
      <c r="D346" s="126"/>
      <c r="E346" s="126"/>
      <c r="F346" s="126"/>
      <c r="G346" s="126"/>
      <c r="H346" s="126"/>
      <c r="I346" s="126"/>
    </row>
    <row r="347" spans="1:10">
      <c r="D347" s="126"/>
      <c r="E347" s="126"/>
      <c r="F347" s="126"/>
      <c r="G347" s="126"/>
      <c r="H347" s="126"/>
      <c r="I347" s="126"/>
    </row>
    <row r="348" spans="1:10">
      <c r="D348" s="126"/>
      <c r="E348" s="126"/>
      <c r="F348" s="126"/>
      <c r="G348" s="126"/>
      <c r="H348" s="126"/>
      <c r="I348" s="126"/>
    </row>
    <row r="350" spans="1:10">
      <c r="H350" s="126"/>
      <c r="I350" s="126"/>
    </row>
    <row r="351" spans="1:10">
      <c r="I351" s="126"/>
    </row>
  </sheetData>
  <mergeCells count="95">
    <mergeCell ref="H7:I7"/>
    <mergeCell ref="A11:A44"/>
    <mergeCell ref="A3:J3"/>
    <mergeCell ref="A6:A8"/>
    <mergeCell ref="B6:B8"/>
    <mergeCell ref="C6:C8"/>
    <mergeCell ref="D6:D8"/>
    <mergeCell ref="E6:F6"/>
    <mergeCell ref="G6:G8"/>
    <mergeCell ref="H6:I6"/>
    <mergeCell ref="J6:J8"/>
    <mergeCell ref="E7:F7"/>
    <mergeCell ref="B18:B27"/>
    <mergeCell ref="B29:B30"/>
    <mergeCell ref="B32:B35"/>
    <mergeCell ref="B37:B41"/>
    <mergeCell ref="B43:B44"/>
    <mergeCell ref="A46:A49"/>
    <mergeCell ref="B47:B49"/>
    <mergeCell ref="B52:B56"/>
    <mergeCell ref="B58:B60"/>
    <mergeCell ref="A51:A62"/>
    <mergeCell ref="A64:A66"/>
    <mergeCell ref="B65:B66"/>
    <mergeCell ref="A112:A124"/>
    <mergeCell ref="B117:B118"/>
    <mergeCell ref="A94:A95"/>
    <mergeCell ref="B98:B110"/>
    <mergeCell ref="A97:A110"/>
    <mergeCell ref="A68:A92"/>
    <mergeCell ref="B69:B72"/>
    <mergeCell ref="B82:B84"/>
    <mergeCell ref="B86:B87"/>
    <mergeCell ref="B89:B90"/>
    <mergeCell ref="B74:B76"/>
    <mergeCell ref="B78:B80"/>
    <mergeCell ref="A126:A129"/>
    <mergeCell ref="B127:B129"/>
    <mergeCell ref="B135:B136"/>
    <mergeCell ref="B138:B139"/>
    <mergeCell ref="B141:B142"/>
    <mergeCell ref="A134:A160"/>
    <mergeCell ref="B156:B160"/>
    <mergeCell ref="B144:B145"/>
    <mergeCell ref="B147:B148"/>
    <mergeCell ref="B150:B154"/>
    <mergeCell ref="A131:A132"/>
    <mergeCell ref="A162:A163"/>
    <mergeCell ref="B166:B167"/>
    <mergeCell ref="B169:B170"/>
    <mergeCell ref="A172:A188"/>
    <mergeCell ref="B183:B185"/>
    <mergeCell ref="B187:B188"/>
    <mergeCell ref="A165:A170"/>
    <mergeCell ref="A220:A234"/>
    <mergeCell ref="B231:B232"/>
    <mergeCell ref="A236:A254"/>
    <mergeCell ref="B237:B238"/>
    <mergeCell ref="B240:B242"/>
    <mergeCell ref="B244:B245"/>
    <mergeCell ref="B247:B248"/>
    <mergeCell ref="B252:B254"/>
    <mergeCell ref="B221:B223"/>
    <mergeCell ref="A337:A342"/>
    <mergeCell ref="A286:A305"/>
    <mergeCell ref="B304:B305"/>
    <mergeCell ref="A190:A214"/>
    <mergeCell ref="B210:B214"/>
    <mergeCell ref="A277:A284"/>
    <mergeCell ref="B282:B284"/>
    <mergeCell ref="B271:B275"/>
    <mergeCell ref="A256:A275"/>
    <mergeCell ref="B191:B192"/>
    <mergeCell ref="B194:B196"/>
    <mergeCell ref="B198:B199"/>
    <mergeCell ref="B201:B205"/>
    <mergeCell ref="B207:B208"/>
    <mergeCell ref="A216:A218"/>
    <mergeCell ref="B217:B218"/>
    <mergeCell ref="B313:B314"/>
    <mergeCell ref="B318:B320"/>
    <mergeCell ref="B259:B269"/>
    <mergeCell ref="A343:C343"/>
    <mergeCell ref="B287:B288"/>
    <mergeCell ref="B292:B293"/>
    <mergeCell ref="A333:A335"/>
    <mergeCell ref="B334:B335"/>
    <mergeCell ref="A307:A331"/>
    <mergeCell ref="B308:B309"/>
    <mergeCell ref="B322:B323"/>
    <mergeCell ref="B325:B327"/>
    <mergeCell ref="B330:B331"/>
    <mergeCell ref="B295:B297"/>
    <mergeCell ref="B301:B302"/>
    <mergeCell ref="B340:B342"/>
  </mergeCells>
  <printOptions horizontalCentered="1"/>
  <pageMargins left="0.11811023622047245" right="0.11811023622047245" top="0.9055118110236221" bottom="0.31496062992125984" header="0.70866141732283472" footer="0.31496062992125984"/>
  <pageSetup paperSize="9" scale="75" orientation="landscape" r:id="rId1"/>
  <headerFooter alignWithMargins="0">
    <oddFooter>Strona &amp;P z &amp;N</oddFooter>
  </headerFooter>
  <rowBreaks count="17" manualBreakCount="17">
    <brk id="38" max="9" man="1"/>
    <brk id="54" max="9" man="1"/>
    <brk id="73" max="9" man="1"/>
    <brk id="92" max="9" man="1"/>
    <brk id="117" max="9" man="1"/>
    <brk id="138" max="9" man="1"/>
    <brk id="159" max="9" man="1"/>
    <brk id="184" max="9" man="1"/>
    <brk id="206" max="9" man="1"/>
    <brk id="226" max="9" man="1"/>
    <brk id="244" max="9" man="1"/>
    <brk id="262" max="9" man="1"/>
    <brk id="278" max="9" man="1"/>
    <brk id="299" max="9" man="1"/>
    <brk id="322" max="9" man="1"/>
    <brk id="341" max="9" man="1"/>
    <brk id="3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78"/>
  <sheetViews>
    <sheetView view="pageBreakPreview" zoomScale="110" zoomScaleNormal="100" zoomScaleSheetLayoutView="110" workbookViewId="0">
      <pane xSplit="2" ySplit="6" topLeftCell="M7" activePane="bottomRight" state="frozen"/>
      <selection activeCell="K301" sqref="K301"/>
      <selection pane="topRight" activeCell="K301" sqref="K301"/>
      <selection pane="bottomLeft" activeCell="K301" sqref="K301"/>
      <selection pane="bottomRight" activeCell="K301" sqref="K301"/>
    </sheetView>
  </sheetViews>
  <sheetFormatPr defaultRowHeight="12.75"/>
  <cols>
    <col min="1" max="1" width="4.375" style="268" customWidth="1"/>
    <col min="2" max="2" width="6" style="268" bestFit="1" customWidth="1"/>
    <col min="3" max="3" width="11.625" style="268" customWidth="1"/>
    <col min="4" max="4" width="10" style="1" customWidth="1"/>
    <col min="5" max="5" width="10.625" style="1" customWidth="1"/>
    <col min="6" max="6" width="10.125" style="1" customWidth="1"/>
    <col min="7" max="7" width="10.75" style="1" customWidth="1"/>
    <col min="8" max="8" width="10.25" style="1" customWidth="1"/>
    <col min="9" max="9" width="9.75" style="1" customWidth="1"/>
    <col min="10" max="10" width="9.125" style="1" customWidth="1"/>
    <col min="11" max="11" width="9.875" style="1" customWidth="1"/>
    <col min="12" max="12" width="9.375" style="1" customWidth="1"/>
    <col min="13" max="13" width="9" style="1" customWidth="1"/>
    <col min="14" max="15" width="10" style="1" customWidth="1"/>
    <col min="16" max="16" width="11" style="1" bestFit="1" customWidth="1"/>
    <col min="17" max="17" width="8.125" style="1" customWidth="1"/>
    <col min="18" max="18" width="8.875" style="1" bestFit="1" customWidth="1"/>
    <col min="19" max="19" width="7.75" style="1" customWidth="1"/>
    <col min="20" max="257" width="9" style="1"/>
    <col min="258" max="258" width="3.75" style="1" bestFit="1" customWidth="1"/>
    <col min="259" max="259" width="6" style="1" bestFit="1" customWidth="1"/>
    <col min="260" max="260" width="12.375" style="1" customWidth="1"/>
    <col min="261" max="261" width="10.625" style="1" customWidth="1"/>
    <col min="262" max="262" width="10.75" style="1" customWidth="1"/>
    <col min="263" max="263" width="10.125" style="1" customWidth="1"/>
    <col min="264" max="264" width="10.75" style="1" customWidth="1"/>
    <col min="265" max="265" width="11" style="1" customWidth="1"/>
    <col min="266" max="266" width="9.125" style="1" customWidth="1"/>
    <col min="267" max="267" width="9.875" style="1" customWidth="1"/>
    <col min="268" max="268" width="9.375" style="1" customWidth="1"/>
    <col min="269" max="269" width="9" style="1" customWidth="1"/>
    <col min="270" max="270" width="11" style="1" bestFit="1" customWidth="1"/>
    <col min="271" max="271" width="9.875" style="1" bestFit="1" customWidth="1"/>
    <col min="272" max="273" width="11" style="1" bestFit="1" customWidth="1"/>
    <col min="274" max="274" width="8.875" style="1" bestFit="1" customWidth="1"/>
    <col min="275" max="513" width="9" style="1"/>
    <col min="514" max="514" width="3.75" style="1" bestFit="1" customWidth="1"/>
    <col min="515" max="515" width="6" style="1" bestFit="1" customWidth="1"/>
    <col min="516" max="516" width="12.375" style="1" customWidth="1"/>
    <col min="517" max="517" width="10.625" style="1" customWidth="1"/>
    <col min="518" max="518" width="10.75" style="1" customWidth="1"/>
    <col min="519" max="519" width="10.125" style="1" customWidth="1"/>
    <col min="520" max="520" width="10.75" style="1" customWidth="1"/>
    <col min="521" max="521" width="11" style="1" customWidth="1"/>
    <col min="522" max="522" width="9.125" style="1" customWidth="1"/>
    <col min="523" max="523" width="9.875" style="1" customWidth="1"/>
    <col min="524" max="524" width="9.375" style="1" customWidth="1"/>
    <col min="525" max="525" width="9" style="1" customWidth="1"/>
    <col min="526" max="526" width="11" style="1" bestFit="1" customWidth="1"/>
    <col min="527" max="527" width="9.875" style="1" bestFit="1" customWidth="1"/>
    <col min="528" max="529" width="11" style="1" bestFit="1" customWidth="1"/>
    <col min="530" max="530" width="8.875" style="1" bestFit="1" customWidth="1"/>
    <col min="531" max="769" width="9" style="1"/>
    <col min="770" max="770" width="3.75" style="1" bestFit="1" customWidth="1"/>
    <col min="771" max="771" width="6" style="1" bestFit="1" customWidth="1"/>
    <col min="772" max="772" width="12.375" style="1" customWidth="1"/>
    <col min="773" max="773" width="10.625" style="1" customWidth="1"/>
    <col min="774" max="774" width="10.75" style="1" customWidth="1"/>
    <col min="775" max="775" width="10.125" style="1" customWidth="1"/>
    <col min="776" max="776" width="10.75" style="1" customWidth="1"/>
    <col min="777" max="777" width="11" style="1" customWidth="1"/>
    <col min="778" max="778" width="9.125" style="1" customWidth="1"/>
    <col min="779" max="779" width="9.875" style="1" customWidth="1"/>
    <col min="780" max="780" width="9.375" style="1" customWidth="1"/>
    <col min="781" max="781" width="9" style="1" customWidth="1"/>
    <col min="782" max="782" width="11" style="1" bestFit="1" customWidth="1"/>
    <col min="783" max="783" width="9.875" style="1" bestFit="1" customWidth="1"/>
    <col min="784" max="785" width="11" style="1" bestFit="1" customWidth="1"/>
    <col min="786" max="786" width="8.875" style="1" bestFit="1" customWidth="1"/>
    <col min="787" max="1025" width="9" style="1"/>
    <col min="1026" max="1026" width="3.75" style="1" bestFit="1" customWidth="1"/>
    <col min="1027" max="1027" width="6" style="1" bestFit="1" customWidth="1"/>
    <col min="1028" max="1028" width="12.375" style="1" customWidth="1"/>
    <col min="1029" max="1029" width="10.625" style="1" customWidth="1"/>
    <col min="1030" max="1030" width="10.75" style="1" customWidth="1"/>
    <col min="1031" max="1031" width="10.125" style="1" customWidth="1"/>
    <col min="1032" max="1032" width="10.75" style="1" customWidth="1"/>
    <col min="1033" max="1033" width="11" style="1" customWidth="1"/>
    <col min="1034" max="1034" width="9.125" style="1" customWidth="1"/>
    <col min="1035" max="1035" width="9.875" style="1" customWidth="1"/>
    <col min="1036" max="1036" width="9.375" style="1" customWidth="1"/>
    <col min="1037" max="1037" width="9" style="1" customWidth="1"/>
    <col min="1038" max="1038" width="11" style="1" bestFit="1" customWidth="1"/>
    <col min="1039" max="1039" width="9.875" style="1" bestFit="1" customWidth="1"/>
    <col min="1040" max="1041" width="11" style="1" bestFit="1" customWidth="1"/>
    <col min="1042" max="1042" width="8.875" style="1" bestFit="1" customWidth="1"/>
    <col min="1043" max="1281" width="9" style="1"/>
    <col min="1282" max="1282" width="3.75" style="1" bestFit="1" customWidth="1"/>
    <col min="1283" max="1283" width="6" style="1" bestFit="1" customWidth="1"/>
    <col min="1284" max="1284" width="12.375" style="1" customWidth="1"/>
    <col min="1285" max="1285" width="10.625" style="1" customWidth="1"/>
    <col min="1286" max="1286" width="10.75" style="1" customWidth="1"/>
    <col min="1287" max="1287" width="10.125" style="1" customWidth="1"/>
    <col min="1288" max="1288" width="10.75" style="1" customWidth="1"/>
    <col min="1289" max="1289" width="11" style="1" customWidth="1"/>
    <col min="1290" max="1290" width="9.125" style="1" customWidth="1"/>
    <col min="1291" max="1291" width="9.875" style="1" customWidth="1"/>
    <col min="1292" max="1292" width="9.375" style="1" customWidth="1"/>
    <col min="1293" max="1293" width="9" style="1" customWidth="1"/>
    <col min="1294" max="1294" width="11" style="1" bestFit="1" customWidth="1"/>
    <col min="1295" max="1295" width="9.875" style="1" bestFit="1" customWidth="1"/>
    <col min="1296" max="1297" width="11" style="1" bestFit="1" customWidth="1"/>
    <col min="1298" max="1298" width="8.875" style="1" bestFit="1" customWidth="1"/>
    <col min="1299" max="1537" width="9" style="1"/>
    <col min="1538" max="1538" width="3.75" style="1" bestFit="1" customWidth="1"/>
    <col min="1539" max="1539" width="6" style="1" bestFit="1" customWidth="1"/>
    <col min="1540" max="1540" width="12.375" style="1" customWidth="1"/>
    <col min="1541" max="1541" width="10.625" style="1" customWidth="1"/>
    <col min="1542" max="1542" width="10.75" style="1" customWidth="1"/>
    <col min="1543" max="1543" width="10.125" style="1" customWidth="1"/>
    <col min="1544" max="1544" width="10.75" style="1" customWidth="1"/>
    <col min="1545" max="1545" width="11" style="1" customWidth="1"/>
    <col min="1546" max="1546" width="9.125" style="1" customWidth="1"/>
    <col min="1547" max="1547" width="9.875" style="1" customWidth="1"/>
    <col min="1548" max="1548" width="9.375" style="1" customWidth="1"/>
    <col min="1549" max="1549" width="9" style="1" customWidth="1"/>
    <col min="1550" max="1550" width="11" style="1" bestFit="1" customWidth="1"/>
    <col min="1551" max="1551" width="9.875" style="1" bestFit="1" customWidth="1"/>
    <col min="1552" max="1553" width="11" style="1" bestFit="1" customWidth="1"/>
    <col min="1554" max="1554" width="8.875" style="1" bestFit="1" customWidth="1"/>
    <col min="1555" max="1793" width="9" style="1"/>
    <col min="1794" max="1794" width="3.75" style="1" bestFit="1" customWidth="1"/>
    <col min="1795" max="1795" width="6" style="1" bestFit="1" customWidth="1"/>
    <col min="1796" max="1796" width="12.375" style="1" customWidth="1"/>
    <col min="1797" max="1797" width="10.625" style="1" customWidth="1"/>
    <col min="1798" max="1798" width="10.75" style="1" customWidth="1"/>
    <col min="1799" max="1799" width="10.125" style="1" customWidth="1"/>
    <col min="1800" max="1800" width="10.75" style="1" customWidth="1"/>
    <col min="1801" max="1801" width="11" style="1" customWidth="1"/>
    <col min="1802" max="1802" width="9.125" style="1" customWidth="1"/>
    <col min="1803" max="1803" width="9.875" style="1" customWidth="1"/>
    <col min="1804" max="1804" width="9.375" style="1" customWidth="1"/>
    <col min="1805" max="1805" width="9" style="1" customWidth="1"/>
    <col min="1806" max="1806" width="11" style="1" bestFit="1" customWidth="1"/>
    <col min="1807" max="1807" width="9.875" style="1" bestFit="1" customWidth="1"/>
    <col min="1808" max="1809" width="11" style="1" bestFit="1" customWidth="1"/>
    <col min="1810" max="1810" width="8.875" style="1" bestFit="1" customWidth="1"/>
    <col min="1811" max="2049" width="9" style="1"/>
    <col min="2050" max="2050" width="3.75" style="1" bestFit="1" customWidth="1"/>
    <col min="2051" max="2051" width="6" style="1" bestFit="1" customWidth="1"/>
    <col min="2052" max="2052" width="12.375" style="1" customWidth="1"/>
    <col min="2053" max="2053" width="10.625" style="1" customWidth="1"/>
    <col min="2054" max="2054" width="10.75" style="1" customWidth="1"/>
    <col min="2055" max="2055" width="10.125" style="1" customWidth="1"/>
    <col min="2056" max="2056" width="10.75" style="1" customWidth="1"/>
    <col min="2057" max="2057" width="11" style="1" customWidth="1"/>
    <col min="2058" max="2058" width="9.125" style="1" customWidth="1"/>
    <col min="2059" max="2059" width="9.875" style="1" customWidth="1"/>
    <col min="2060" max="2060" width="9.375" style="1" customWidth="1"/>
    <col min="2061" max="2061" width="9" style="1" customWidth="1"/>
    <col min="2062" max="2062" width="11" style="1" bestFit="1" customWidth="1"/>
    <col min="2063" max="2063" width="9.875" style="1" bestFit="1" customWidth="1"/>
    <col min="2064" max="2065" width="11" style="1" bestFit="1" customWidth="1"/>
    <col min="2066" max="2066" width="8.875" style="1" bestFit="1" customWidth="1"/>
    <col min="2067" max="2305" width="9" style="1"/>
    <col min="2306" max="2306" width="3.75" style="1" bestFit="1" customWidth="1"/>
    <col min="2307" max="2307" width="6" style="1" bestFit="1" customWidth="1"/>
    <col min="2308" max="2308" width="12.375" style="1" customWidth="1"/>
    <col min="2309" max="2309" width="10.625" style="1" customWidth="1"/>
    <col min="2310" max="2310" width="10.75" style="1" customWidth="1"/>
    <col min="2311" max="2311" width="10.125" style="1" customWidth="1"/>
    <col min="2312" max="2312" width="10.75" style="1" customWidth="1"/>
    <col min="2313" max="2313" width="11" style="1" customWidth="1"/>
    <col min="2314" max="2314" width="9.125" style="1" customWidth="1"/>
    <col min="2315" max="2315" width="9.875" style="1" customWidth="1"/>
    <col min="2316" max="2316" width="9.375" style="1" customWidth="1"/>
    <col min="2317" max="2317" width="9" style="1" customWidth="1"/>
    <col min="2318" max="2318" width="11" style="1" bestFit="1" customWidth="1"/>
    <col min="2319" max="2319" width="9.875" style="1" bestFit="1" customWidth="1"/>
    <col min="2320" max="2321" width="11" style="1" bestFit="1" customWidth="1"/>
    <col min="2322" max="2322" width="8.875" style="1" bestFit="1" customWidth="1"/>
    <col min="2323" max="2561" width="9" style="1"/>
    <col min="2562" max="2562" width="3.75" style="1" bestFit="1" customWidth="1"/>
    <col min="2563" max="2563" width="6" style="1" bestFit="1" customWidth="1"/>
    <col min="2564" max="2564" width="12.375" style="1" customWidth="1"/>
    <col min="2565" max="2565" width="10.625" style="1" customWidth="1"/>
    <col min="2566" max="2566" width="10.75" style="1" customWidth="1"/>
    <col min="2567" max="2567" width="10.125" style="1" customWidth="1"/>
    <col min="2568" max="2568" width="10.75" style="1" customWidth="1"/>
    <col min="2569" max="2569" width="11" style="1" customWidth="1"/>
    <col min="2570" max="2570" width="9.125" style="1" customWidth="1"/>
    <col min="2571" max="2571" width="9.875" style="1" customWidth="1"/>
    <col min="2572" max="2572" width="9.375" style="1" customWidth="1"/>
    <col min="2573" max="2573" width="9" style="1" customWidth="1"/>
    <col min="2574" max="2574" width="11" style="1" bestFit="1" customWidth="1"/>
    <col min="2575" max="2575" width="9.875" style="1" bestFit="1" customWidth="1"/>
    <col min="2576" max="2577" width="11" style="1" bestFit="1" customWidth="1"/>
    <col min="2578" max="2578" width="8.875" style="1" bestFit="1" customWidth="1"/>
    <col min="2579" max="2817" width="9" style="1"/>
    <col min="2818" max="2818" width="3.75" style="1" bestFit="1" customWidth="1"/>
    <col min="2819" max="2819" width="6" style="1" bestFit="1" customWidth="1"/>
    <col min="2820" max="2820" width="12.375" style="1" customWidth="1"/>
    <col min="2821" max="2821" width="10.625" style="1" customWidth="1"/>
    <col min="2822" max="2822" width="10.75" style="1" customWidth="1"/>
    <col min="2823" max="2823" width="10.125" style="1" customWidth="1"/>
    <col min="2824" max="2824" width="10.75" style="1" customWidth="1"/>
    <col min="2825" max="2825" width="11" style="1" customWidth="1"/>
    <col min="2826" max="2826" width="9.125" style="1" customWidth="1"/>
    <col min="2827" max="2827" width="9.875" style="1" customWidth="1"/>
    <col min="2828" max="2828" width="9.375" style="1" customWidth="1"/>
    <col min="2829" max="2829" width="9" style="1" customWidth="1"/>
    <col min="2830" max="2830" width="11" style="1" bestFit="1" customWidth="1"/>
    <col min="2831" max="2831" width="9.875" style="1" bestFit="1" customWidth="1"/>
    <col min="2832" max="2833" width="11" style="1" bestFit="1" customWidth="1"/>
    <col min="2834" max="2834" width="8.875" style="1" bestFit="1" customWidth="1"/>
    <col min="2835" max="3073" width="9" style="1"/>
    <col min="3074" max="3074" width="3.75" style="1" bestFit="1" customWidth="1"/>
    <col min="3075" max="3075" width="6" style="1" bestFit="1" customWidth="1"/>
    <col min="3076" max="3076" width="12.375" style="1" customWidth="1"/>
    <col min="3077" max="3077" width="10.625" style="1" customWidth="1"/>
    <col min="3078" max="3078" width="10.75" style="1" customWidth="1"/>
    <col min="3079" max="3079" width="10.125" style="1" customWidth="1"/>
    <col min="3080" max="3080" width="10.75" style="1" customWidth="1"/>
    <col min="3081" max="3081" width="11" style="1" customWidth="1"/>
    <col min="3082" max="3082" width="9.125" style="1" customWidth="1"/>
    <col min="3083" max="3083" width="9.875" style="1" customWidth="1"/>
    <col min="3084" max="3084" width="9.375" style="1" customWidth="1"/>
    <col min="3085" max="3085" width="9" style="1" customWidth="1"/>
    <col min="3086" max="3086" width="11" style="1" bestFit="1" customWidth="1"/>
    <col min="3087" max="3087" width="9.875" style="1" bestFit="1" customWidth="1"/>
    <col min="3088" max="3089" width="11" style="1" bestFit="1" customWidth="1"/>
    <col min="3090" max="3090" width="8.875" style="1" bestFit="1" customWidth="1"/>
    <col min="3091" max="3329" width="9" style="1"/>
    <col min="3330" max="3330" width="3.75" style="1" bestFit="1" customWidth="1"/>
    <col min="3331" max="3331" width="6" style="1" bestFit="1" customWidth="1"/>
    <col min="3332" max="3332" width="12.375" style="1" customWidth="1"/>
    <col min="3333" max="3333" width="10.625" style="1" customWidth="1"/>
    <col min="3334" max="3334" width="10.75" style="1" customWidth="1"/>
    <col min="3335" max="3335" width="10.125" style="1" customWidth="1"/>
    <col min="3336" max="3336" width="10.75" style="1" customWidth="1"/>
    <col min="3337" max="3337" width="11" style="1" customWidth="1"/>
    <col min="3338" max="3338" width="9.125" style="1" customWidth="1"/>
    <col min="3339" max="3339" width="9.875" style="1" customWidth="1"/>
    <col min="3340" max="3340" width="9.375" style="1" customWidth="1"/>
    <col min="3341" max="3341" width="9" style="1" customWidth="1"/>
    <col min="3342" max="3342" width="11" style="1" bestFit="1" customWidth="1"/>
    <col min="3343" max="3343" width="9.875" style="1" bestFit="1" customWidth="1"/>
    <col min="3344" max="3345" width="11" style="1" bestFit="1" customWidth="1"/>
    <col min="3346" max="3346" width="8.875" style="1" bestFit="1" customWidth="1"/>
    <col min="3347" max="3585" width="9" style="1"/>
    <col min="3586" max="3586" width="3.75" style="1" bestFit="1" customWidth="1"/>
    <col min="3587" max="3587" width="6" style="1" bestFit="1" customWidth="1"/>
    <col min="3588" max="3588" width="12.375" style="1" customWidth="1"/>
    <col min="3589" max="3589" width="10.625" style="1" customWidth="1"/>
    <col min="3590" max="3590" width="10.75" style="1" customWidth="1"/>
    <col min="3591" max="3591" width="10.125" style="1" customWidth="1"/>
    <col min="3592" max="3592" width="10.75" style="1" customWidth="1"/>
    <col min="3593" max="3593" width="11" style="1" customWidth="1"/>
    <col min="3594" max="3594" width="9.125" style="1" customWidth="1"/>
    <col min="3595" max="3595" width="9.875" style="1" customWidth="1"/>
    <col min="3596" max="3596" width="9.375" style="1" customWidth="1"/>
    <col min="3597" max="3597" width="9" style="1" customWidth="1"/>
    <col min="3598" max="3598" width="11" style="1" bestFit="1" customWidth="1"/>
    <col min="3599" max="3599" width="9.875" style="1" bestFit="1" customWidth="1"/>
    <col min="3600" max="3601" width="11" style="1" bestFit="1" customWidth="1"/>
    <col min="3602" max="3602" width="8.875" style="1" bestFit="1" customWidth="1"/>
    <col min="3603" max="3841" width="9" style="1"/>
    <col min="3842" max="3842" width="3.75" style="1" bestFit="1" customWidth="1"/>
    <col min="3843" max="3843" width="6" style="1" bestFit="1" customWidth="1"/>
    <col min="3844" max="3844" width="12.375" style="1" customWidth="1"/>
    <col min="3845" max="3845" width="10.625" style="1" customWidth="1"/>
    <col min="3846" max="3846" width="10.75" style="1" customWidth="1"/>
    <col min="3847" max="3847" width="10.125" style="1" customWidth="1"/>
    <col min="3848" max="3848" width="10.75" style="1" customWidth="1"/>
    <col min="3849" max="3849" width="11" style="1" customWidth="1"/>
    <col min="3850" max="3850" width="9.125" style="1" customWidth="1"/>
    <col min="3851" max="3851" width="9.875" style="1" customWidth="1"/>
    <col min="3852" max="3852" width="9.375" style="1" customWidth="1"/>
    <col min="3853" max="3853" width="9" style="1" customWidth="1"/>
    <col min="3854" max="3854" width="11" style="1" bestFit="1" customWidth="1"/>
    <col min="3855" max="3855" width="9.875" style="1" bestFit="1" customWidth="1"/>
    <col min="3856" max="3857" width="11" style="1" bestFit="1" customWidth="1"/>
    <col min="3858" max="3858" width="8.875" style="1" bestFit="1" customWidth="1"/>
    <col min="3859" max="4097" width="9" style="1"/>
    <col min="4098" max="4098" width="3.75" style="1" bestFit="1" customWidth="1"/>
    <col min="4099" max="4099" width="6" style="1" bestFit="1" customWidth="1"/>
    <col min="4100" max="4100" width="12.375" style="1" customWidth="1"/>
    <col min="4101" max="4101" width="10.625" style="1" customWidth="1"/>
    <col min="4102" max="4102" width="10.75" style="1" customWidth="1"/>
    <col min="4103" max="4103" width="10.125" style="1" customWidth="1"/>
    <col min="4104" max="4104" width="10.75" style="1" customWidth="1"/>
    <col min="4105" max="4105" width="11" style="1" customWidth="1"/>
    <col min="4106" max="4106" width="9.125" style="1" customWidth="1"/>
    <col min="4107" max="4107" width="9.875" style="1" customWidth="1"/>
    <col min="4108" max="4108" width="9.375" style="1" customWidth="1"/>
    <col min="4109" max="4109" width="9" style="1" customWidth="1"/>
    <col min="4110" max="4110" width="11" style="1" bestFit="1" customWidth="1"/>
    <col min="4111" max="4111" width="9.875" style="1" bestFit="1" customWidth="1"/>
    <col min="4112" max="4113" width="11" style="1" bestFit="1" customWidth="1"/>
    <col min="4114" max="4114" width="8.875" style="1" bestFit="1" customWidth="1"/>
    <col min="4115" max="4353" width="9" style="1"/>
    <col min="4354" max="4354" width="3.75" style="1" bestFit="1" customWidth="1"/>
    <col min="4355" max="4355" width="6" style="1" bestFit="1" customWidth="1"/>
    <col min="4356" max="4356" width="12.375" style="1" customWidth="1"/>
    <col min="4357" max="4357" width="10.625" style="1" customWidth="1"/>
    <col min="4358" max="4358" width="10.75" style="1" customWidth="1"/>
    <col min="4359" max="4359" width="10.125" style="1" customWidth="1"/>
    <col min="4360" max="4360" width="10.75" style="1" customWidth="1"/>
    <col min="4361" max="4361" width="11" style="1" customWidth="1"/>
    <col min="4362" max="4362" width="9.125" style="1" customWidth="1"/>
    <col min="4363" max="4363" width="9.875" style="1" customWidth="1"/>
    <col min="4364" max="4364" width="9.375" style="1" customWidth="1"/>
    <col min="4365" max="4365" width="9" style="1" customWidth="1"/>
    <col min="4366" max="4366" width="11" style="1" bestFit="1" customWidth="1"/>
    <col min="4367" max="4367" width="9.875" style="1" bestFit="1" customWidth="1"/>
    <col min="4368" max="4369" width="11" style="1" bestFit="1" customWidth="1"/>
    <col min="4370" max="4370" width="8.875" style="1" bestFit="1" customWidth="1"/>
    <col min="4371" max="4609" width="9" style="1"/>
    <col min="4610" max="4610" width="3.75" style="1" bestFit="1" customWidth="1"/>
    <col min="4611" max="4611" width="6" style="1" bestFit="1" customWidth="1"/>
    <col min="4612" max="4612" width="12.375" style="1" customWidth="1"/>
    <col min="4613" max="4613" width="10.625" style="1" customWidth="1"/>
    <col min="4614" max="4614" width="10.75" style="1" customWidth="1"/>
    <col min="4615" max="4615" width="10.125" style="1" customWidth="1"/>
    <col min="4616" max="4616" width="10.75" style="1" customWidth="1"/>
    <col min="4617" max="4617" width="11" style="1" customWidth="1"/>
    <col min="4618" max="4618" width="9.125" style="1" customWidth="1"/>
    <col min="4619" max="4619" width="9.875" style="1" customWidth="1"/>
    <col min="4620" max="4620" width="9.375" style="1" customWidth="1"/>
    <col min="4621" max="4621" width="9" style="1" customWidth="1"/>
    <col min="4622" max="4622" width="11" style="1" bestFit="1" customWidth="1"/>
    <col min="4623" max="4623" width="9.875" style="1" bestFit="1" customWidth="1"/>
    <col min="4624" max="4625" width="11" style="1" bestFit="1" customWidth="1"/>
    <col min="4626" max="4626" width="8.875" style="1" bestFit="1" customWidth="1"/>
    <col min="4627" max="4865" width="9" style="1"/>
    <col min="4866" max="4866" width="3.75" style="1" bestFit="1" customWidth="1"/>
    <col min="4867" max="4867" width="6" style="1" bestFit="1" customWidth="1"/>
    <col min="4868" max="4868" width="12.375" style="1" customWidth="1"/>
    <col min="4869" max="4869" width="10.625" style="1" customWidth="1"/>
    <col min="4870" max="4870" width="10.75" style="1" customWidth="1"/>
    <col min="4871" max="4871" width="10.125" style="1" customWidth="1"/>
    <col min="4872" max="4872" width="10.75" style="1" customWidth="1"/>
    <col min="4873" max="4873" width="11" style="1" customWidth="1"/>
    <col min="4874" max="4874" width="9.125" style="1" customWidth="1"/>
    <col min="4875" max="4875" width="9.875" style="1" customWidth="1"/>
    <col min="4876" max="4876" width="9.375" style="1" customWidth="1"/>
    <col min="4877" max="4877" width="9" style="1" customWidth="1"/>
    <col min="4878" max="4878" width="11" style="1" bestFit="1" customWidth="1"/>
    <col min="4879" max="4879" width="9.875" style="1" bestFit="1" customWidth="1"/>
    <col min="4880" max="4881" width="11" style="1" bestFit="1" customWidth="1"/>
    <col min="4882" max="4882" width="8.875" style="1" bestFit="1" customWidth="1"/>
    <col min="4883" max="5121" width="9" style="1"/>
    <col min="5122" max="5122" width="3.75" style="1" bestFit="1" customWidth="1"/>
    <col min="5123" max="5123" width="6" style="1" bestFit="1" customWidth="1"/>
    <col min="5124" max="5124" width="12.375" style="1" customWidth="1"/>
    <col min="5125" max="5125" width="10.625" style="1" customWidth="1"/>
    <col min="5126" max="5126" width="10.75" style="1" customWidth="1"/>
    <col min="5127" max="5127" width="10.125" style="1" customWidth="1"/>
    <col min="5128" max="5128" width="10.75" style="1" customWidth="1"/>
    <col min="5129" max="5129" width="11" style="1" customWidth="1"/>
    <col min="5130" max="5130" width="9.125" style="1" customWidth="1"/>
    <col min="5131" max="5131" width="9.875" style="1" customWidth="1"/>
    <col min="5132" max="5132" width="9.375" style="1" customWidth="1"/>
    <col min="5133" max="5133" width="9" style="1" customWidth="1"/>
    <col min="5134" max="5134" width="11" style="1" bestFit="1" customWidth="1"/>
    <col min="5135" max="5135" width="9.875" style="1" bestFit="1" customWidth="1"/>
    <col min="5136" max="5137" width="11" style="1" bestFit="1" customWidth="1"/>
    <col min="5138" max="5138" width="8.875" style="1" bestFit="1" customWidth="1"/>
    <col min="5139" max="5377" width="9" style="1"/>
    <col min="5378" max="5378" width="3.75" style="1" bestFit="1" customWidth="1"/>
    <col min="5379" max="5379" width="6" style="1" bestFit="1" customWidth="1"/>
    <col min="5380" max="5380" width="12.375" style="1" customWidth="1"/>
    <col min="5381" max="5381" width="10.625" style="1" customWidth="1"/>
    <col min="5382" max="5382" width="10.75" style="1" customWidth="1"/>
    <col min="5383" max="5383" width="10.125" style="1" customWidth="1"/>
    <col min="5384" max="5384" width="10.75" style="1" customWidth="1"/>
    <col min="5385" max="5385" width="11" style="1" customWidth="1"/>
    <col min="5386" max="5386" width="9.125" style="1" customWidth="1"/>
    <col min="5387" max="5387" width="9.875" style="1" customWidth="1"/>
    <col min="5388" max="5388" width="9.375" style="1" customWidth="1"/>
    <col min="5389" max="5389" width="9" style="1" customWidth="1"/>
    <col min="5390" max="5390" width="11" style="1" bestFit="1" customWidth="1"/>
    <col min="5391" max="5391" width="9.875" style="1" bestFit="1" customWidth="1"/>
    <col min="5392" max="5393" width="11" style="1" bestFit="1" customWidth="1"/>
    <col min="5394" max="5394" width="8.875" style="1" bestFit="1" customWidth="1"/>
    <col min="5395" max="5633" width="9" style="1"/>
    <col min="5634" max="5634" width="3.75" style="1" bestFit="1" customWidth="1"/>
    <col min="5635" max="5635" width="6" style="1" bestFit="1" customWidth="1"/>
    <col min="5636" max="5636" width="12.375" style="1" customWidth="1"/>
    <col min="5637" max="5637" width="10.625" style="1" customWidth="1"/>
    <col min="5638" max="5638" width="10.75" style="1" customWidth="1"/>
    <col min="5639" max="5639" width="10.125" style="1" customWidth="1"/>
    <col min="5640" max="5640" width="10.75" style="1" customWidth="1"/>
    <col min="5641" max="5641" width="11" style="1" customWidth="1"/>
    <col min="5642" max="5642" width="9.125" style="1" customWidth="1"/>
    <col min="5643" max="5643" width="9.875" style="1" customWidth="1"/>
    <col min="5644" max="5644" width="9.375" style="1" customWidth="1"/>
    <col min="5645" max="5645" width="9" style="1" customWidth="1"/>
    <col min="5646" max="5646" width="11" style="1" bestFit="1" customWidth="1"/>
    <col min="5647" max="5647" width="9.875" style="1" bestFit="1" customWidth="1"/>
    <col min="5648" max="5649" width="11" style="1" bestFit="1" customWidth="1"/>
    <col min="5650" max="5650" width="8.875" style="1" bestFit="1" customWidth="1"/>
    <col min="5651" max="5889" width="9" style="1"/>
    <col min="5890" max="5890" width="3.75" style="1" bestFit="1" customWidth="1"/>
    <col min="5891" max="5891" width="6" style="1" bestFit="1" customWidth="1"/>
    <col min="5892" max="5892" width="12.375" style="1" customWidth="1"/>
    <col min="5893" max="5893" width="10.625" style="1" customWidth="1"/>
    <col min="5894" max="5894" width="10.75" style="1" customWidth="1"/>
    <col min="5895" max="5895" width="10.125" style="1" customWidth="1"/>
    <col min="5896" max="5896" width="10.75" style="1" customWidth="1"/>
    <col min="5897" max="5897" width="11" style="1" customWidth="1"/>
    <col min="5898" max="5898" width="9.125" style="1" customWidth="1"/>
    <col min="5899" max="5899" width="9.875" style="1" customWidth="1"/>
    <col min="5900" max="5900" width="9.375" style="1" customWidth="1"/>
    <col min="5901" max="5901" width="9" style="1" customWidth="1"/>
    <col min="5902" max="5902" width="11" style="1" bestFit="1" customWidth="1"/>
    <col min="5903" max="5903" width="9.875" style="1" bestFit="1" customWidth="1"/>
    <col min="5904" max="5905" width="11" style="1" bestFit="1" customWidth="1"/>
    <col min="5906" max="5906" width="8.875" style="1" bestFit="1" customWidth="1"/>
    <col min="5907" max="6145" width="9" style="1"/>
    <col min="6146" max="6146" width="3.75" style="1" bestFit="1" customWidth="1"/>
    <col min="6147" max="6147" width="6" style="1" bestFit="1" customWidth="1"/>
    <col min="6148" max="6148" width="12.375" style="1" customWidth="1"/>
    <col min="6149" max="6149" width="10.625" style="1" customWidth="1"/>
    <col min="6150" max="6150" width="10.75" style="1" customWidth="1"/>
    <col min="6151" max="6151" width="10.125" style="1" customWidth="1"/>
    <col min="6152" max="6152" width="10.75" style="1" customWidth="1"/>
    <col min="6153" max="6153" width="11" style="1" customWidth="1"/>
    <col min="6154" max="6154" width="9.125" style="1" customWidth="1"/>
    <col min="6155" max="6155" width="9.875" style="1" customWidth="1"/>
    <col min="6156" max="6156" width="9.375" style="1" customWidth="1"/>
    <col min="6157" max="6157" width="9" style="1" customWidth="1"/>
    <col min="6158" max="6158" width="11" style="1" bestFit="1" customWidth="1"/>
    <col min="6159" max="6159" width="9.875" style="1" bestFit="1" customWidth="1"/>
    <col min="6160" max="6161" width="11" style="1" bestFit="1" customWidth="1"/>
    <col min="6162" max="6162" width="8.875" style="1" bestFit="1" customWidth="1"/>
    <col min="6163" max="6401" width="9" style="1"/>
    <col min="6402" max="6402" width="3.75" style="1" bestFit="1" customWidth="1"/>
    <col min="6403" max="6403" width="6" style="1" bestFit="1" customWidth="1"/>
    <col min="6404" max="6404" width="12.375" style="1" customWidth="1"/>
    <col min="6405" max="6405" width="10.625" style="1" customWidth="1"/>
    <col min="6406" max="6406" width="10.75" style="1" customWidth="1"/>
    <col min="6407" max="6407" width="10.125" style="1" customWidth="1"/>
    <col min="6408" max="6408" width="10.75" style="1" customWidth="1"/>
    <col min="6409" max="6409" width="11" style="1" customWidth="1"/>
    <col min="6410" max="6410" width="9.125" style="1" customWidth="1"/>
    <col min="6411" max="6411" width="9.875" style="1" customWidth="1"/>
    <col min="6412" max="6412" width="9.375" style="1" customWidth="1"/>
    <col min="6413" max="6413" width="9" style="1" customWidth="1"/>
    <col min="6414" max="6414" width="11" style="1" bestFit="1" customWidth="1"/>
    <col min="6415" max="6415" width="9.875" style="1" bestFit="1" customWidth="1"/>
    <col min="6416" max="6417" width="11" style="1" bestFit="1" customWidth="1"/>
    <col min="6418" max="6418" width="8.875" style="1" bestFit="1" customWidth="1"/>
    <col min="6419" max="6657" width="9" style="1"/>
    <col min="6658" max="6658" width="3.75" style="1" bestFit="1" customWidth="1"/>
    <col min="6659" max="6659" width="6" style="1" bestFit="1" customWidth="1"/>
    <col min="6660" max="6660" width="12.375" style="1" customWidth="1"/>
    <col min="6661" max="6661" width="10.625" style="1" customWidth="1"/>
    <col min="6662" max="6662" width="10.75" style="1" customWidth="1"/>
    <col min="6663" max="6663" width="10.125" style="1" customWidth="1"/>
    <col min="6664" max="6664" width="10.75" style="1" customWidth="1"/>
    <col min="6665" max="6665" width="11" style="1" customWidth="1"/>
    <col min="6666" max="6666" width="9.125" style="1" customWidth="1"/>
    <col min="6667" max="6667" width="9.875" style="1" customWidth="1"/>
    <col min="6668" max="6668" width="9.375" style="1" customWidth="1"/>
    <col min="6669" max="6669" width="9" style="1" customWidth="1"/>
    <col min="6670" max="6670" width="11" style="1" bestFit="1" customWidth="1"/>
    <col min="6671" max="6671" width="9.875" style="1" bestFit="1" customWidth="1"/>
    <col min="6672" max="6673" width="11" style="1" bestFit="1" customWidth="1"/>
    <col min="6674" max="6674" width="8.875" style="1" bestFit="1" customWidth="1"/>
    <col min="6675" max="6913" width="9" style="1"/>
    <col min="6914" max="6914" width="3.75" style="1" bestFit="1" customWidth="1"/>
    <col min="6915" max="6915" width="6" style="1" bestFit="1" customWidth="1"/>
    <col min="6916" max="6916" width="12.375" style="1" customWidth="1"/>
    <col min="6917" max="6917" width="10.625" style="1" customWidth="1"/>
    <col min="6918" max="6918" width="10.75" style="1" customWidth="1"/>
    <col min="6919" max="6919" width="10.125" style="1" customWidth="1"/>
    <col min="6920" max="6920" width="10.75" style="1" customWidth="1"/>
    <col min="6921" max="6921" width="11" style="1" customWidth="1"/>
    <col min="6922" max="6922" width="9.125" style="1" customWidth="1"/>
    <col min="6923" max="6923" width="9.875" style="1" customWidth="1"/>
    <col min="6924" max="6924" width="9.375" style="1" customWidth="1"/>
    <col min="6925" max="6925" width="9" style="1" customWidth="1"/>
    <col min="6926" max="6926" width="11" style="1" bestFit="1" customWidth="1"/>
    <col min="6927" max="6927" width="9.875" style="1" bestFit="1" customWidth="1"/>
    <col min="6928" max="6929" width="11" style="1" bestFit="1" customWidth="1"/>
    <col min="6930" max="6930" width="8.875" style="1" bestFit="1" customWidth="1"/>
    <col min="6931" max="7169" width="9" style="1"/>
    <col min="7170" max="7170" width="3.75" style="1" bestFit="1" customWidth="1"/>
    <col min="7171" max="7171" width="6" style="1" bestFit="1" customWidth="1"/>
    <col min="7172" max="7172" width="12.375" style="1" customWidth="1"/>
    <col min="7173" max="7173" width="10.625" style="1" customWidth="1"/>
    <col min="7174" max="7174" width="10.75" style="1" customWidth="1"/>
    <col min="7175" max="7175" width="10.125" style="1" customWidth="1"/>
    <col min="7176" max="7176" width="10.75" style="1" customWidth="1"/>
    <col min="7177" max="7177" width="11" style="1" customWidth="1"/>
    <col min="7178" max="7178" width="9.125" style="1" customWidth="1"/>
    <col min="7179" max="7179" width="9.875" style="1" customWidth="1"/>
    <col min="7180" max="7180" width="9.375" style="1" customWidth="1"/>
    <col min="7181" max="7181" width="9" style="1" customWidth="1"/>
    <col min="7182" max="7182" width="11" style="1" bestFit="1" customWidth="1"/>
    <col min="7183" max="7183" width="9.875" style="1" bestFit="1" customWidth="1"/>
    <col min="7184" max="7185" width="11" style="1" bestFit="1" customWidth="1"/>
    <col min="7186" max="7186" width="8.875" style="1" bestFit="1" customWidth="1"/>
    <col min="7187" max="7425" width="9" style="1"/>
    <col min="7426" max="7426" width="3.75" style="1" bestFit="1" customWidth="1"/>
    <col min="7427" max="7427" width="6" style="1" bestFit="1" customWidth="1"/>
    <col min="7428" max="7428" width="12.375" style="1" customWidth="1"/>
    <col min="7429" max="7429" width="10.625" style="1" customWidth="1"/>
    <col min="7430" max="7430" width="10.75" style="1" customWidth="1"/>
    <col min="7431" max="7431" width="10.125" style="1" customWidth="1"/>
    <col min="7432" max="7432" width="10.75" style="1" customWidth="1"/>
    <col min="7433" max="7433" width="11" style="1" customWidth="1"/>
    <col min="7434" max="7434" width="9.125" style="1" customWidth="1"/>
    <col min="7435" max="7435" width="9.875" style="1" customWidth="1"/>
    <col min="7436" max="7436" width="9.375" style="1" customWidth="1"/>
    <col min="7437" max="7437" width="9" style="1" customWidth="1"/>
    <col min="7438" max="7438" width="11" style="1" bestFit="1" customWidth="1"/>
    <col min="7439" max="7439" width="9.875" style="1" bestFit="1" customWidth="1"/>
    <col min="7440" max="7441" width="11" style="1" bestFit="1" customWidth="1"/>
    <col min="7442" max="7442" width="8.875" style="1" bestFit="1" customWidth="1"/>
    <col min="7443" max="7681" width="9" style="1"/>
    <col min="7682" max="7682" width="3.75" style="1" bestFit="1" customWidth="1"/>
    <col min="7683" max="7683" width="6" style="1" bestFit="1" customWidth="1"/>
    <col min="7684" max="7684" width="12.375" style="1" customWidth="1"/>
    <col min="7685" max="7685" width="10.625" style="1" customWidth="1"/>
    <col min="7686" max="7686" width="10.75" style="1" customWidth="1"/>
    <col min="7687" max="7687" width="10.125" style="1" customWidth="1"/>
    <col min="7688" max="7688" width="10.75" style="1" customWidth="1"/>
    <col min="7689" max="7689" width="11" style="1" customWidth="1"/>
    <col min="7690" max="7690" width="9.125" style="1" customWidth="1"/>
    <col min="7691" max="7691" width="9.875" style="1" customWidth="1"/>
    <col min="7692" max="7692" width="9.375" style="1" customWidth="1"/>
    <col min="7693" max="7693" width="9" style="1" customWidth="1"/>
    <col min="7694" max="7694" width="11" style="1" bestFit="1" customWidth="1"/>
    <col min="7695" max="7695" width="9.875" style="1" bestFit="1" customWidth="1"/>
    <col min="7696" max="7697" width="11" style="1" bestFit="1" customWidth="1"/>
    <col min="7698" max="7698" width="8.875" style="1" bestFit="1" customWidth="1"/>
    <col min="7699" max="7937" width="9" style="1"/>
    <col min="7938" max="7938" width="3.75" style="1" bestFit="1" customWidth="1"/>
    <col min="7939" max="7939" width="6" style="1" bestFit="1" customWidth="1"/>
    <col min="7940" max="7940" width="12.375" style="1" customWidth="1"/>
    <col min="7941" max="7941" width="10.625" style="1" customWidth="1"/>
    <col min="7942" max="7942" width="10.75" style="1" customWidth="1"/>
    <col min="7943" max="7943" width="10.125" style="1" customWidth="1"/>
    <col min="7944" max="7944" width="10.75" style="1" customWidth="1"/>
    <col min="7945" max="7945" width="11" style="1" customWidth="1"/>
    <col min="7946" max="7946" width="9.125" style="1" customWidth="1"/>
    <col min="7947" max="7947" width="9.875" style="1" customWidth="1"/>
    <col min="7948" max="7948" width="9.375" style="1" customWidth="1"/>
    <col min="7949" max="7949" width="9" style="1" customWidth="1"/>
    <col min="7950" max="7950" width="11" style="1" bestFit="1" customWidth="1"/>
    <col min="7951" max="7951" width="9.875" style="1" bestFit="1" customWidth="1"/>
    <col min="7952" max="7953" width="11" style="1" bestFit="1" customWidth="1"/>
    <col min="7954" max="7954" width="8.875" style="1" bestFit="1" customWidth="1"/>
    <col min="7955" max="8193" width="9" style="1"/>
    <col min="8194" max="8194" width="3.75" style="1" bestFit="1" customWidth="1"/>
    <col min="8195" max="8195" width="6" style="1" bestFit="1" customWidth="1"/>
    <col min="8196" max="8196" width="12.375" style="1" customWidth="1"/>
    <col min="8197" max="8197" width="10.625" style="1" customWidth="1"/>
    <col min="8198" max="8198" width="10.75" style="1" customWidth="1"/>
    <col min="8199" max="8199" width="10.125" style="1" customWidth="1"/>
    <col min="8200" max="8200" width="10.75" style="1" customWidth="1"/>
    <col min="8201" max="8201" width="11" style="1" customWidth="1"/>
    <col min="8202" max="8202" width="9.125" style="1" customWidth="1"/>
    <col min="8203" max="8203" width="9.875" style="1" customWidth="1"/>
    <col min="8204" max="8204" width="9.375" style="1" customWidth="1"/>
    <col min="8205" max="8205" width="9" style="1" customWidth="1"/>
    <col min="8206" max="8206" width="11" style="1" bestFit="1" customWidth="1"/>
    <col min="8207" max="8207" width="9.875" style="1" bestFit="1" customWidth="1"/>
    <col min="8208" max="8209" width="11" style="1" bestFit="1" customWidth="1"/>
    <col min="8210" max="8210" width="8.875" style="1" bestFit="1" customWidth="1"/>
    <col min="8211" max="8449" width="9" style="1"/>
    <col min="8450" max="8450" width="3.75" style="1" bestFit="1" customWidth="1"/>
    <col min="8451" max="8451" width="6" style="1" bestFit="1" customWidth="1"/>
    <col min="8452" max="8452" width="12.375" style="1" customWidth="1"/>
    <col min="8453" max="8453" width="10.625" style="1" customWidth="1"/>
    <col min="8454" max="8454" width="10.75" style="1" customWidth="1"/>
    <col min="8455" max="8455" width="10.125" style="1" customWidth="1"/>
    <col min="8456" max="8456" width="10.75" style="1" customWidth="1"/>
    <col min="8457" max="8457" width="11" style="1" customWidth="1"/>
    <col min="8458" max="8458" width="9.125" style="1" customWidth="1"/>
    <col min="8459" max="8459" width="9.875" style="1" customWidth="1"/>
    <col min="8460" max="8460" width="9.375" style="1" customWidth="1"/>
    <col min="8461" max="8461" width="9" style="1" customWidth="1"/>
    <col min="8462" max="8462" width="11" style="1" bestFit="1" customWidth="1"/>
    <col min="8463" max="8463" width="9.875" style="1" bestFit="1" customWidth="1"/>
    <col min="8464" max="8465" width="11" style="1" bestFit="1" customWidth="1"/>
    <col min="8466" max="8466" width="8.875" style="1" bestFit="1" customWidth="1"/>
    <col min="8467" max="8705" width="9" style="1"/>
    <col min="8706" max="8706" width="3.75" style="1" bestFit="1" customWidth="1"/>
    <col min="8707" max="8707" width="6" style="1" bestFit="1" customWidth="1"/>
    <col min="8708" max="8708" width="12.375" style="1" customWidth="1"/>
    <col min="8709" max="8709" width="10.625" style="1" customWidth="1"/>
    <col min="8710" max="8710" width="10.75" style="1" customWidth="1"/>
    <col min="8711" max="8711" width="10.125" style="1" customWidth="1"/>
    <col min="8712" max="8712" width="10.75" style="1" customWidth="1"/>
    <col min="8713" max="8713" width="11" style="1" customWidth="1"/>
    <col min="8714" max="8714" width="9.125" style="1" customWidth="1"/>
    <col min="8715" max="8715" width="9.875" style="1" customWidth="1"/>
    <col min="8716" max="8716" width="9.375" style="1" customWidth="1"/>
    <col min="8717" max="8717" width="9" style="1" customWidth="1"/>
    <col min="8718" max="8718" width="11" style="1" bestFit="1" customWidth="1"/>
    <col min="8719" max="8719" width="9.875" style="1" bestFit="1" customWidth="1"/>
    <col min="8720" max="8721" width="11" style="1" bestFit="1" customWidth="1"/>
    <col min="8722" max="8722" width="8.875" style="1" bestFit="1" customWidth="1"/>
    <col min="8723" max="8961" width="9" style="1"/>
    <col min="8962" max="8962" width="3.75" style="1" bestFit="1" customWidth="1"/>
    <col min="8963" max="8963" width="6" style="1" bestFit="1" customWidth="1"/>
    <col min="8964" max="8964" width="12.375" style="1" customWidth="1"/>
    <col min="8965" max="8965" width="10.625" style="1" customWidth="1"/>
    <col min="8966" max="8966" width="10.75" style="1" customWidth="1"/>
    <col min="8967" max="8967" width="10.125" style="1" customWidth="1"/>
    <col min="8968" max="8968" width="10.75" style="1" customWidth="1"/>
    <col min="8969" max="8969" width="11" style="1" customWidth="1"/>
    <col min="8970" max="8970" width="9.125" style="1" customWidth="1"/>
    <col min="8971" max="8971" width="9.875" style="1" customWidth="1"/>
    <col min="8972" max="8972" width="9.375" style="1" customWidth="1"/>
    <col min="8973" max="8973" width="9" style="1" customWidth="1"/>
    <col min="8974" max="8974" width="11" style="1" bestFit="1" customWidth="1"/>
    <col min="8975" max="8975" width="9.875" style="1" bestFit="1" customWidth="1"/>
    <col min="8976" max="8977" width="11" style="1" bestFit="1" customWidth="1"/>
    <col min="8978" max="8978" width="8.875" style="1" bestFit="1" customWidth="1"/>
    <col min="8979" max="9217" width="9" style="1"/>
    <col min="9218" max="9218" width="3.75" style="1" bestFit="1" customWidth="1"/>
    <col min="9219" max="9219" width="6" style="1" bestFit="1" customWidth="1"/>
    <col min="9220" max="9220" width="12.375" style="1" customWidth="1"/>
    <col min="9221" max="9221" width="10.625" style="1" customWidth="1"/>
    <col min="9222" max="9222" width="10.75" style="1" customWidth="1"/>
    <col min="9223" max="9223" width="10.125" style="1" customWidth="1"/>
    <col min="9224" max="9224" width="10.75" style="1" customWidth="1"/>
    <col min="9225" max="9225" width="11" style="1" customWidth="1"/>
    <col min="9226" max="9226" width="9.125" style="1" customWidth="1"/>
    <col min="9227" max="9227" width="9.875" style="1" customWidth="1"/>
    <col min="9228" max="9228" width="9.375" style="1" customWidth="1"/>
    <col min="9229" max="9229" width="9" style="1" customWidth="1"/>
    <col min="9230" max="9230" width="11" style="1" bestFit="1" customWidth="1"/>
    <col min="9231" max="9231" width="9.875" style="1" bestFit="1" customWidth="1"/>
    <col min="9232" max="9233" width="11" style="1" bestFit="1" customWidth="1"/>
    <col min="9234" max="9234" width="8.875" style="1" bestFit="1" customWidth="1"/>
    <col min="9235" max="9473" width="9" style="1"/>
    <col min="9474" max="9474" width="3.75" style="1" bestFit="1" customWidth="1"/>
    <col min="9475" max="9475" width="6" style="1" bestFit="1" customWidth="1"/>
    <col min="9476" max="9476" width="12.375" style="1" customWidth="1"/>
    <col min="9477" max="9477" width="10.625" style="1" customWidth="1"/>
    <col min="9478" max="9478" width="10.75" style="1" customWidth="1"/>
    <col min="9479" max="9479" width="10.125" style="1" customWidth="1"/>
    <col min="9480" max="9480" width="10.75" style="1" customWidth="1"/>
    <col min="9481" max="9481" width="11" style="1" customWidth="1"/>
    <col min="9482" max="9482" width="9.125" style="1" customWidth="1"/>
    <col min="9483" max="9483" width="9.875" style="1" customWidth="1"/>
    <col min="9484" max="9484" width="9.375" style="1" customWidth="1"/>
    <col min="9485" max="9485" width="9" style="1" customWidth="1"/>
    <col min="9486" max="9486" width="11" style="1" bestFit="1" customWidth="1"/>
    <col min="9487" max="9487" width="9.875" style="1" bestFit="1" customWidth="1"/>
    <col min="9488" max="9489" width="11" style="1" bestFit="1" customWidth="1"/>
    <col min="9490" max="9490" width="8.875" style="1" bestFit="1" customWidth="1"/>
    <col min="9491" max="9729" width="9" style="1"/>
    <col min="9730" max="9730" width="3.75" style="1" bestFit="1" customWidth="1"/>
    <col min="9731" max="9731" width="6" style="1" bestFit="1" customWidth="1"/>
    <col min="9732" max="9732" width="12.375" style="1" customWidth="1"/>
    <col min="9733" max="9733" width="10.625" style="1" customWidth="1"/>
    <col min="9734" max="9734" width="10.75" style="1" customWidth="1"/>
    <col min="9735" max="9735" width="10.125" style="1" customWidth="1"/>
    <col min="9736" max="9736" width="10.75" style="1" customWidth="1"/>
    <col min="9737" max="9737" width="11" style="1" customWidth="1"/>
    <col min="9738" max="9738" width="9.125" style="1" customWidth="1"/>
    <col min="9739" max="9739" width="9.875" style="1" customWidth="1"/>
    <col min="9740" max="9740" width="9.375" style="1" customWidth="1"/>
    <col min="9741" max="9741" width="9" style="1" customWidth="1"/>
    <col min="9742" max="9742" width="11" style="1" bestFit="1" customWidth="1"/>
    <col min="9743" max="9743" width="9.875" style="1" bestFit="1" customWidth="1"/>
    <col min="9744" max="9745" width="11" style="1" bestFit="1" customWidth="1"/>
    <col min="9746" max="9746" width="8.875" style="1" bestFit="1" customWidth="1"/>
    <col min="9747" max="9985" width="9" style="1"/>
    <col min="9986" max="9986" width="3.75" style="1" bestFit="1" customWidth="1"/>
    <col min="9987" max="9987" width="6" style="1" bestFit="1" customWidth="1"/>
    <col min="9988" max="9988" width="12.375" style="1" customWidth="1"/>
    <col min="9989" max="9989" width="10.625" style="1" customWidth="1"/>
    <col min="9990" max="9990" width="10.75" style="1" customWidth="1"/>
    <col min="9991" max="9991" width="10.125" style="1" customWidth="1"/>
    <col min="9992" max="9992" width="10.75" style="1" customWidth="1"/>
    <col min="9993" max="9993" width="11" style="1" customWidth="1"/>
    <col min="9994" max="9994" width="9.125" style="1" customWidth="1"/>
    <col min="9995" max="9995" width="9.875" style="1" customWidth="1"/>
    <col min="9996" max="9996" width="9.375" style="1" customWidth="1"/>
    <col min="9997" max="9997" width="9" style="1" customWidth="1"/>
    <col min="9998" max="9998" width="11" style="1" bestFit="1" customWidth="1"/>
    <col min="9999" max="9999" width="9.875" style="1" bestFit="1" customWidth="1"/>
    <col min="10000" max="10001" width="11" style="1" bestFit="1" customWidth="1"/>
    <col min="10002" max="10002" width="8.875" style="1" bestFit="1" customWidth="1"/>
    <col min="10003" max="10241" width="9" style="1"/>
    <col min="10242" max="10242" width="3.75" style="1" bestFit="1" customWidth="1"/>
    <col min="10243" max="10243" width="6" style="1" bestFit="1" customWidth="1"/>
    <col min="10244" max="10244" width="12.375" style="1" customWidth="1"/>
    <col min="10245" max="10245" width="10.625" style="1" customWidth="1"/>
    <col min="10246" max="10246" width="10.75" style="1" customWidth="1"/>
    <col min="10247" max="10247" width="10.125" style="1" customWidth="1"/>
    <col min="10248" max="10248" width="10.75" style="1" customWidth="1"/>
    <col min="10249" max="10249" width="11" style="1" customWidth="1"/>
    <col min="10250" max="10250" width="9.125" style="1" customWidth="1"/>
    <col min="10251" max="10251" width="9.875" style="1" customWidth="1"/>
    <col min="10252" max="10252" width="9.375" style="1" customWidth="1"/>
    <col min="10253" max="10253" width="9" style="1" customWidth="1"/>
    <col min="10254" max="10254" width="11" style="1" bestFit="1" customWidth="1"/>
    <col min="10255" max="10255" width="9.875" style="1" bestFit="1" customWidth="1"/>
    <col min="10256" max="10257" width="11" style="1" bestFit="1" customWidth="1"/>
    <col min="10258" max="10258" width="8.875" style="1" bestFit="1" customWidth="1"/>
    <col min="10259" max="10497" width="9" style="1"/>
    <col min="10498" max="10498" width="3.75" style="1" bestFit="1" customWidth="1"/>
    <col min="10499" max="10499" width="6" style="1" bestFit="1" customWidth="1"/>
    <col min="10500" max="10500" width="12.375" style="1" customWidth="1"/>
    <col min="10501" max="10501" width="10.625" style="1" customWidth="1"/>
    <col min="10502" max="10502" width="10.75" style="1" customWidth="1"/>
    <col min="10503" max="10503" width="10.125" style="1" customWidth="1"/>
    <col min="10504" max="10504" width="10.75" style="1" customWidth="1"/>
    <col min="10505" max="10505" width="11" style="1" customWidth="1"/>
    <col min="10506" max="10506" width="9.125" style="1" customWidth="1"/>
    <col min="10507" max="10507" width="9.875" style="1" customWidth="1"/>
    <col min="10508" max="10508" width="9.375" style="1" customWidth="1"/>
    <col min="10509" max="10509" width="9" style="1" customWidth="1"/>
    <col min="10510" max="10510" width="11" style="1" bestFit="1" customWidth="1"/>
    <col min="10511" max="10511" width="9.875" style="1" bestFit="1" customWidth="1"/>
    <col min="10512" max="10513" width="11" style="1" bestFit="1" customWidth="1"/>
    <col min="10514" max="10514" width="8.875" style="1" bestFit="1" customWidth="1"/>
    <col min="10515" max="10753" width="9" style="1"/>
    <col min="10754" max="10754" width="3.75" style="1" bestFit="1" customWidth="1"/>
    <col min="10755" max="10755" width="6" style="1" bestFit="1" customWidth="1"/>
    <col min="10756" max="10756" width="12.375" style="1" customWidth="1"/>
    <col min="10757" max="10757" width="10.625" style="1" customWidth="1"/>
    <col min="10758" max="10758" width="10.75" style="1" customWidth="1"/>
    <col min="10759" max="10759" width="10.125" style="1" customWidth="1"/>
    <col min="10760" max="10760" width="10.75" style="1" customWidth="1"/>
    <col min="10761" max="10761" width="11" style="1" customWidth="1"/>
    <col min="10762" max="10762" width="9.125" style="1" customWidth="1"/>
    <col min="10763" max="10763" width="9.875" style="1" customWidth="1"/>
    <col min="10764" max="10764" width="9.375" style="1" customWidth="1"/>
    <col min="10765" max="10765" width="9" style="1" customWidth="1"/>
    <col min="10766" max="10766" width="11" style="1" bestFit="1" customWidth="1"/>
    <col min="10767" max="10767" width="9.875" style="1" bestFit="1" customWidth="1"/>
    <col min="10768" max="10769" width="11" style="1" bestFit="1" customWidth="1"/>
    <col min="10770" max="10770" width="8.875" style="1" bestFit="1" customWidth="1"/>
    <col min="10771" max="11009" width="9" style="1"/>
    <col min="11010" max="11010" width="3.75" style="1" bestFit="1" customWidth="1"/>
    <col min="11011" max="11011" width="6" style="1" bestFit="1" customWidth="1"/>
    <col min="11012" max="11012" width="12.375" style="1" customWidth="1"/>
    <col min="11013" max="11013" width="10.625" style="1" customWidth="1"/>
    <col min="11014" max="11014" width="10.75" style="1" customWidth="1"/>
    <col min="11015" max="11015" width="10.125" style="1" customWidth="1"/>
    <col min="11016" max="11016" width="10.75" style="1" customWidth="1"/>
    <col min="11017" max="11017" width="11" style="1" customWidth="1"/>
    <col min="11018" max="11018" width="9.125" style="1" customWidth="1"/>
    <col min="11019" max="11019" width="9.875" style="1" customWidth="1"/>
    <col min="11020" max="11020" width="9.375" style="1" customWidth="1"/>
    <col min="11021" max="11021" width="9" style="1" customWidth="1"/>
    <col min="11022" max="11022" width="11" style="1" bestFit="1" customWidth="1"/>
    <col min="11023" max="11023" width="9.875" style="1" bestFit="1" customWidth="1"/>
    <col min="11024" max="11025" width="11" style="1" bestFit="1" customWidth="1"/>
    <col min="11026" max="11026" width="8.875" style="1" bestFit="1" customWidth="1"/>
    <col min="11027" max="11265" width="9" style="1"/>
    <col min="11266" max="11266" width="3.75" style="1" bestFit="1" customWidth="1"/>
    <col min="11267" max="11267" width="6" style="1" bestFit="1" customWidth="1"/>
    <col min="11268" max="11268" width="12.375" style="1" customWidth="1"/>
    <col min="11269" max="11269" width="10.625" style="1" customWidth="1"/>
    <col min="11270" max="11270" width="10.75" style="1" customWidth="1"/>
    <col min="11271" max="11271" width="10.125" style="1" customWidth="1"/>
    <col min="11272" max="11272" width="10.75" style="1" customWidth="1"/>
    <col min="11273" max="11273" width="11" style="1" customWidth="1"/>
    <col min="11274" max="11274" width="9.125" style="1" customWidth="1"/>
    <col min="11275" max="11275" width="9.875" style="1" customWidth="1"/>
    <col min="11276" max="11276" width="9.375" style="1" customWidth="1"/>
    <col min="11277" max="11277" width="9" style="1" customWidth="1"/>
    <col min="11278" max="11278" width="11" style="1" bestFit="1" customWidth="1"/>
    <col min="11279" max="11279" width="9.875" style="1" bestFit="1" customWidth="1"/>
    <col min="11280" max="11281" width="11" style="1" bestFit="1" customWidth="1"/>
    <col min="11282" max="11282" width="8.875" style="1" bestFit="1" customWidth="1"/>
    <col min="11283" max="11521" width="9" style="1"/>
    <col min="11522" max="11522" width="3.75" style="1" bestFit="1" customWidth="1"/>
    <col min="11523" max="11523" width="6" style="1" bestFit="1" customWidth="1"/>
    <col min="11524" max="11524" width="12.375" style="1" customWidth="1"/>
    <col min="11525" max="11525" width="10.625" style="1" customWidth="1"/>
    <col min="11526" max="11526" width="10.75" style="1" customWidth="1"/>
    <col min="11527" max="11527" width="10.125" style="1" customWidth="1"/>
    <col min="11528" max="11528" width="10.75" style="1" customWidth="1"/>
    <col min="11529" max="11529" width="11" style="1" customWidth="1"/>
    <col min="11530" max="11530" width="9.125" style="1" customWidth="1"/>
    <col min="11531" max="11531" width="9.875" style="1" customWidth="1"/>
    <col min="11532" max="11532" width="9.375" style="1" customWidth="1"/>
    <col min="11533" max="11533" width="9" style="1" customWidth="1"/>
    <col min="11534" max="11534" width="11" style="1" bestFit="1" customWidth="1"/>
    <col min="11535" max="11535" width="9.875" style="1" bestFit="1" customWidth="1"/>
    <col min="11536" max="11537" width="11" style="1" bestFit="1" customWidth="1"/>
    <col min="11538" max="11538" width="8.875" style="1" bestFit="1" customWidth="1"/>
    <col min="11539" max="11777" width="9" style="1"/>
    <col min="11778" max="11778" width="3.75" style="1" bestFit="1" customWidth="1"/>
    <col min="11779" max="11779" width="6" style="1" bestFit="1" customWidth="1"/>
    <col min="11780" max="11780" width="12.375" style="1" customWidth="1"/>
    <col min="11781" max="11781" width="10.625" style="1" customWidth="1"/>
    <col min="11782" max="11782" width="10.75" style="1" customWidth="1"/>
    <col min="11783" max="11783" width="10.125" style="1" customWidth="1"/>
    <col min="11784" max="11784" width="10.75" style="1" customWidth="1"/>
    <col min="11785" max="11785" width="11" style="1" customWidth="1"/>
    <col min="11786" max="11786" width="9.125" style="1" customWidth="1"/>
    <col min="11787" max="11787" width="9.875" style="1" customWidth="1"/>
    <col min="11788" max="11788" width="9.375" style="1" customWidth="1"/>
    <col min="11789" max="11789" width="9" style="1" customWidth="1"/>
    <col min="11790" max="11790" width="11" style="1" bestFit="1" customWidth="1"/>
    <col min="11791" max="11791" width="9.875" style="1" bestFit="1" customWidth="1"/>
    <col min="11792" max="11793" width="11" style="1" bestFit="1" customWidth="1"/>
    <col min="11794" max="11794" width="8.875" style="1" bestFit="1" customWidth="1"/>
    <col min="11795" max="12033" width="9" style="1"/>
    <col min="12034" max="12034" width="3.75" style="1" bestFit="1" customWidth="1"/>
    <col min="12035" max="12035" width="6" style="1" bestFit="1" customWidth="1"/>
    <col min="12036" max="12036" width="12.375" style="1" customWidth="1"/>
    <col min="12037" max="12037" width="10.625" style="1" customWidth="1"/>
    <col min="12038" max="12038" width="10.75" style="1" customWidth="1"/>
    <col min="12039" max="12039" width="10.125" style="1" customWidth="1"/>
    <col min="12040" max="12040" width="10.75" style="1" customWidth="1"/>
    <col min="12041" max="12041" width="11" style="1" customWidth="1"/>
    <col min="12042" max="12042" width="9.125" style="1" customWidth="1"/>
    <col min="12043" max="12043" width="9.875" style="1" customWidth="1"/>
    <col min="12044" max="12044" width="9.375" style="1" customWidth="1"/>
    <col min="12045" max="12045" width="9" style="1" customWidth="1"/>
    <col min="12046" max="12046" width="11" style="1" bestFit="1" customWidth="1"/>
    <col min="12047" max="12047" width="9.875" style="1" bestFit="1" customWidth="1"/>
    <col min="12048" max="12049" width="11" style="1" bestFit="1" customWidth="1"/>
    <col min="12050" max="12050" width="8.875" style="1" bestFit="1" customWidth="1"/>
    <col min="12051" max="12289" width="9" style="1"/>
    <col min="12290" max="12290" width="3.75" style="1" bestFit="1" customWidth="1"/>
    <col min="12291" max="12291" width="6" style="1" bestFit="1" customWidth="1"/>
    <col min="12292" max="12292" width="12.375" style="1" customWidth="1"/>
    <col min="12293" max="12293" width="10.625" style="1" customWidth="1"/>
    <col min="12294" max="12294" width="10.75" style="1" customWidth="1"/>
    <col min="12295" max="12295" width="10.125" style="1" customWidth="1"/>
    <col min="12296" max="12296" width="10.75" style="1" customWidth="1"/>
    <col min="12297" max="12297" width="11" style="1" customWidth="1"/>
    <col min="12298" max="12298" width="9.125" style="1" customWidth="1"/>
    <col min="12299" max="12299" width="9.875" style="1" customWidth="1"/>
    <col min="12300" max="12300" width="9.375" style="1" customWidth="1"/>
    <col min="12301" max="12301" width="9" style="1" customWidth="1"/>
    <col min="12302" max="12302" width="11" style="1" bestFit="1" customWidth="1"/>
    <col min="12303" max="12303" width="9.875" style="1" bestFit="1" customWidth="1"/>
    <col min="12304" max="12305" width="11" style="1" bestFit="1" customWidth="1"/>
    <col min="12306" max="12306" width="8.875" style="1" bestFit="1" customWidth="1"/>
    <col min="12307" max="12545" width="9" style="1"/>
    <col min="12546" max="12546" width="3.75" style="1" bestFit="1" customWidth="1"/>
    <col min="12547" max="12547" width="6" style="1" bestFit="1" customWidth="1"/>
    <col min="12548" max="12548" width="12.375" style="1" customWidth="1"/>
    <col min="12549" max="12549" width="10.625" style="1" customWidth="1"/>
    <col min="12550" max="12550" width="10.75" style="1" customWidth="1"/>
    <col min="12551" max="12551" width="10.125" style="1" customWidth="1"/>
    <col min="12552" max="12552" width="10.75" style="1" customWidth="1"/>
    <col min="12553" max="12553" width="11" style="1" customWidth="1"/>
    <col min="12554" max="12554" width="9.125" style="1" customWidth="1"/>
    <col min="12555" max="12555" width="9.875" style="1" customWidth="1"/>
    <col min="12556" max="12556" width="9.375" style="1" customWidth="1"/>
    <col min="12557" max="12557" width="9" style="1" customWidth="1"/>
    <col min="12558" max="12558" width="11" style="1" bestFit="1" customWidth="1"/>
    <col min="12559" max="12559" width="9.875" style="1" bestFit="1" customWidth="1"/>
    <col min="12560" max="12561" width="11" style="1" bestFit="1" customWidth="1"/>
    <col min="12562" max="12562" width="8.875" style="1" bestFit="1" customWidth="1"/>
    <col min="12563" max="12801" width="9" style="1"/>
    <col min="12802" max="12802" width="3.75" style="1" bestFit="1" customWidth="1"/>
    <col min="12803" max="12803" width="6" style="1" bestFit="1" customWidth="1"/>
    <col min="12804" max="12804" width="12.375" style="1" customWidth="1"/>
    <col min="12805" max="12805" width="10.625" style="1" customWidth="1"/>
    <col min="12806" max="12806" width="10.75" style="1" customWidth="1"/>
    <col min="12807" max="12807" width="10.125" style="1" customWidth="1"/>
    <col min="12808" max="12808" width="10.75" style="1" customWidth="1"/>
    <col min="12809" max="12809" width="11" style="1" customWidth="1"/>
    <col min="12810" max="12810" width="9.125" style="1" customWidth="1"/>
    <col min="12811" max="12811" width="9.875" style="1" customWidth="1"/>
    <col min="12812" max="12812" width="9.375" style="1" customWidth="1"/>
    <col min="12813" max="12813" width="9" style="1" customWidth="1"/>
    <col min="12814" max="12814" width="11" style="1" bestFit="1" customWidth="1"/>
    <col min="12815" max="12815" width="9.875" style="1" bestFit="1" customWidth="1"/>
    <col min="12816" max="12817" width="11" style="1" bestFit="1" customWidth="1"/>
    <col min="12818" max="12818" width="8.875" style="1" bestFit="1" customWidth="1"/>
    <col min="12819" max="13057" width="9" style="1"/>
    <col min="13058" max="13058" width="3.75" style="1" bestFit="1" customWidth="1"/>
    <col min="13059" max="13059" width="6" style="1" bestFit="1" customWidth="1"/>
    <col min="13060" max="13060" width="12.375" style="1" customWidth="1"/>
    <col min="13061" max="13061" width="10.625" style="1" customWidth="1"/>
    <col min="13062" max="13062" width="10.75" style="1" customWidth="1"/>
    <col min="13063" max="13063" width="10.125" style="1" customWidth="1"/>
    <col min="13064" max="13064" width="10.75" style="1" customWidth="1"/>
    <col min="13065" max="13065" width="11" style="1" customWidth="1"/>
    <col min="13066" max="13066" width="9.125" style="1" customWidth="1"/>
    <col min="13067" max="13067" width="9.875" style="1" customWidth="1"/>
    <col min="13068" max="13068" width="9.375" style="1" customWidth="1"/>
    <col min="13069" max="13069" width="9" style="1" customWidth="1"/>
    <col min="13070" max="13070" width="11" style="1" bestFit="1" customWidth="1"/>
    <col min="13071" max="13071" width="9.875" style="1" bestFit="1" customWidth="1"/>
    <col min="13072" max="13073" width="11" style="1" bestFit="1" customWidth="1"/>
    <col min="13074" max="13074" width="8.875" style="1" bestFit="1" customWidth="1"/>
    <col min="13075" max="13313" width="9" style="1"/>
    <col min="13314" max="13314" width="3.75" style="1" bestFit="1" customWidth="1"/>
    <col min="13315" max="13315" width="6" style="1" bestFit="1" customWidth="1"/>
    <col min="13316" max="13316" width="12.375" style="1" customWidth="1"/>
    <col min="13317" max="13317" width="10.625" style="1" customWidth="1"/>
    <col min="13318" max="13318" width="10.75" style="1" customWidth="1"/>
    <col min="13319" max="13319" width="10.125" style="1" customWidth="1"/>
    <col min="13320" max="13320" width="10.75" style="1" customWidth="1"/>
    <col min="13321" max="13321" width="11" style="1" customWidth="1"/>
    <col min="13322" max="13322" width="9.125" style="1" customWidth="1"/>
    <col min="13323" max="13323" width="9.875" style="1" customWidth="1"/>
    <col min="13324" max="13324" width="9.375" style="1" customWidth="1"/>
    <col min="13325" max="13325" width="9" style="1" customWidth="1"/>
    <col min="13326" max="13326" width="11" style="1" bestFit="1" customWidth="1"/>
    <col min="13327" max="13327" width="9.875" style="1" bestFit="1" customWidth="1"/>
    <col min="13328" max="13329" width="11" style="1" bestFit="1" customWidth="1"/>
    <col min="13330" max="13330" width="8.875" style="1" bestFit="1" customWidth="1"/>
    <col min="13331" max="13569" width="9" style="1"/>
    <col min="13570" max="13570" width="3.75" style="1" bestFit="1" customWidth="1"/>
    <col min="13571" max="13571" width="6" style="1" bestFit="1" customWidth="1"/>
    <col min="13572" max="13572" width="12.375" style="1" customWidth="1"/>
    <col min="13573" max="13573" width="10.625" style="1" customWidth="1"/>
    <col min="13574" max="13574" width="10.75" style="1" customWidth="1"/>
    <col min="13575" max="13575" width="10.125" style="1" customWidth="1"/>
    <col min="13576" max="13576" width="10.75" style="1" customWidth="1"/>
    <col min="13577" max="13577" width="11" style="1" customWidth="1"/>
    <col min="13578" max="13578" width="9.125" style="1" customWidth="1"/>
    <col min="13579" max="13579" width="9.875" style="1" customWidth="1"/>
    <col min="13580" max="13580" width="9.375" style="1" customWidth="1"/>
    <col min="13581" max="13581" width="9" style="1" customWidth="1"/>
    <col min="13582" max="13582" width="11" style="1" bestFit="1" customWidth="1"/>
    <col min="13583" max="13583" width="9.875" style="1" bestFit="1" customWidth="1"/>
    <col min="13584" max="13585" width="11" style="1" bestFit="1" customWidth="1"/>
    <col min="13586" max="13586" width="8.875" style="1" bestFit="1" customWidth="1"/>
    <col min="13587" max="13825" width="9" style="1"/>
    <col min="13826" max="13826" width="3.75" style="1" bestFit="1" customWidth="1"/>
    <col min="13827" max="13827" width="6" style="1" bestFit="1" customWidth="1"/>
    <col min="13828" max="13828" width="12.375" style="1" customWidth="1"/>
    <col min="13829" max="13829" width="10.625" style="1" customWidth="1"/>
    <col min="13830" max="13830" width="10.75" style="1" customWidth="1"/>
    <col min="13831" max="13831" width="10.125" style="1" customWidth="1"/>
    <col min="13832" max="13832" width="10.75" style="1" customWidth="1"/>
    <col min="13833" max="13833" width="11" style="1" customWidth="1"/>
    <col min="13834" max="13834" width="9.125" style="1" customWidth="1"/>
    <col min="13835" max="13835" width="9.875" style="1" customWidth="1"/>
    <col min="13836" max="13836" width="9.375" style="1" customWidth="1"/>
    <col min="13837" max="13837" width="9" style="1" customWidth="1"/>
    <col min="13838" max="13838" width="11" style="1" bestFit="1" customWidth="1"/>
    <col min="13839" max="13839" width="9.875" style="1" bestFit="1" customWidth="1"/>
    <col min="13840" max="13841" width="11" style="1" bestFit="1" customWidth="1"/>
    <col min="13842" max="13842" width="8.875" style="1" bestFit="1" customWidth="1"/>
    <col min="13843" max="14081" width="9" style="1"/>
    <col min="14082" max="14082" width="3.75" style="1" bestFit="1" customWidth="1"/>
    <col min="14083" max="14083" width="6" style="1" bestFit="1" customWidth="1"/>
    <col min="14084" max="14084" width="12.375" style="1" customWidth="1"/>
    <col min="14085" max="14085" width="10.625" style="1" customWidth="1"/>
    <col min="14086" max="14086" width="10.75" style="1" customWidth="1"/>
    <col min="14087" max="14087" width="10.125" style="1" customWidth="1"/>
    <col min="14088" max="14088" width="10.75" style="1" customWidth="1"/>
    <col min="14089" max="14089" width="11" style="1" customWidth="1"/>
    <col min="14090" max="14090" width="9.125" style="1" customWidth="1"/>
    <col min="14091" max="14091" width="9.875" style="1" customWidth="1"/>
    <col min="14092" max="14092" width="9.375" style="1" customWidth="1"/>
    <col min="14093" max="14093" width="9" style="1" customWidth="1"/>
    <col min="14094" max="14094" width="11" style="1" bestFit="1" customWidth="1"/>
    <col min="14095" max="14095" width="9.875" style="1" bestFit="1" customWidth="1"/>
    <col min="14096" max="14097" width="11" style="1" bestFit="1" customWidth="1"/>
    <col min="14098" max="14098" width="8.875" style="1" bestFit="1" customWidth="1"/>
    <col min="14099" max="14337" width="9" style="1"/>
    <col min="14338" max="14338" width="3.75" style="1" bestFit="1" customWidth="1"/>
    <col min="14339" max="14339" width="6" style="1" bestFit="1" customWidth="1"/>
    <col min="14340" max="14340" width="12.375" style="1" customWidth="1"/>
    <col min="14341" max="14341" width="10.625" style="1" customWidth="1"/>
    <col min="14342" max="14342" width="10.75" style="1" customWidth="1"/>
    <col min="14343" max="14343" width="10.125" style="1" customWidth="1"/>
    <col min="14344" max="14344" width="10.75" style="1" customWidth="1"/>
    <col min="14345" max="14345" width="11" style="1" customWidth="1"/>
    <col min="14346" max="14346" width="9.125" style="1" customWidth="1"/>
    <col min="14347" max="14347" width="9.875" style="1" customWidth="1"/>
    <col min="14348" max="14348" width="9.375" style="1" customWidth="1"/>
    <col min="14349" max="14349" width="9" style="1" customWidth="1"/>
    <col min="14350" max="14350" width="11" style="1" bestFit="1" customWidth="1"/>
    <col min="14351" max="14351" width="9.875" style="1" bestFit="1" customWidth="1"/>
    <col min="14352" max="14353" width="11" style="1" bestFit="1" customWidth="1"/>
    <col min="14354" max="14354" width="8.875" style="1" bestFit="1" customWidth="1"/>
    <col min="14355" max="14593" width="9" style="1"/>
    <col min="14594" max="14594" width="3.75" style="1" bestFit="1" customWidth="1"/>
    <col min="14595" max="14595" width="6" style="1" bestFit="1" customWidth="1"/>
    <col min="14596" max="14596" width="12.375" style="1" customWidth="1"/>
    <col min="14597" max="14597" width="10.625" style="1" customWidth="1"/>
    <col min="14598" max="14598" width="10.75" style="1" customWidth="1"/>
    <col min="14599" max="14599" width="10.125" style="1" customWidth="1"/>
    <col min="14600" max="14600" width="10.75" style="1" customWidth="1"/>
    <col min="14601" max="14601" width="11" style="1" customWidth="1"/>
    <col min="14602" max="14602" width="9.125" style="1" customWidth="1"/>
    <col min="14603" max="14603" width="9.875" style="1" customWidth="1"/>
    <col min="14604" max="14604" width="9.375" style="1" customWidth="1"/>
    <col min="14605" max="14605" width="9" style="1" customWidth="1"/>
    <col min="14606" max="14606" width="11" style="1" bestFit="1" customWidth="1"/>
    <col min="14607" max="14607" width="9.875" style="1" bestFit="1" customWidth="1"/>
    <col min="14608" max="14609" width="11" style="1" bestFit="1" customWidth="1"/>
    <col min="14610" max="14610" width="8.875" style="1" bestFit="1" customWidth="1"/>
    <col min="14611" max="14849" width="9" style="1"/>
    <col min="14850" max="14850" width="3.75" style="1" bestFit="1" customWidth="1"/>
    <col min="14851" max="14851" width="6" style="1" bestFit="1" customWidth="1"/>
    <col min="14852" max="14852" width="12.375" style="1" customWidth="1"/>
    <col min="14853" max="14853" width="10.625" style="1" customWidth="1"/>
    <col min="14854" max="14854" width="10.75" style="1" customWidth="1"/>
    <col min="14855" max="14855" width="10.125" style="1" customWidth="1"/>
    <col min="14856" max="14856" width="10.75" style="1" customWidth="1"/>
    <col min="14857" max="14857" width="11" style="1" customWidth="1"/>
    <col min="14858" max="14858" width="9.125" style="1" customWidth="1"/>
    <col min="14859" max="14859" width="9.875" style="1" customWidth="1"/>
    <col min="14860" max="14860" width="9.375" style="1" customWidth="1"/>
    <col min="14861" max="14861" width="9" style="1" customWidth="1"/>
    <col min="14862" max="14862" width="11" style="1" bestFit="1" customWidth="1"/>
    <col min="14863" max="14863" width="9.875" style="1" bestFit="1" customWidth="1"/>
    <col min="14864" max="14865" width="11" style="1" bestFit="1" customWidth="1"/>
    <col min="14866" max="14866" width="8.875" style="1" bestFit="1" customWidth="1"/>
    <col min="14867" max="15105" width="9" style="1"/>
    <col min="15106" max="15106" width="3.75" style="1" bestFit="1" customWidth="1"/>
    <col min="15107" max="15107" width="6" style="1" bestFit="1" customWidth="1"/>
    <col min="15108" max="15108" width="12.375" style="1" customWidth="1"/>
    <col min="15109" max="15109" width="10.625" style="1" customWidth="1"/>
    <col min="15110" max="15110" width="10.75" style="1" customWidth="1"/>
    <col min="15111" max="15111" width="10.125" style="1" customWidth="1"/>
    <col min="15112" max="15112" width="10.75" style="1" customWidth="1"/>
    <col min="15113" max="15113" width="11" style="1" customWidth="1"/>
    <col min="15114" max="15114" width="9.125" style="1" customWidth="1"/>
    <col min="15115" max="15115" width="9.875" style="1" customWidth="1"/>
    <col min="15116" max="15116" width="9.375" style="1" customWidth="1"/>
    <col min="15117" max="15117" width="9" style="1" customWidth="1"/>
    <col min="15118" max="15118" width="11" style="1" bestFit="1" customWidth="1"/>
    <col min="15119" max="15119" width="9.875" style="1" bestFit="1" customWidth="1"/>
    <col min="15120" max="15121" width="11" style="1" bestFit="1" customWidth="1"/>
    <col min="15122" max="15122" width="8.875" style="1" bestFit="1" customWidth="1"/>
    <col min="15123" max="15361" width="9" style="1"/>
    <col min="15362" max="15362" width="3.75" style="1" bestFit="1" customWidth="1"/>
    <col min="15363" max="15363" width="6" style="1" bestFit="1" customWidth="1"/>
    <col min="15364" max="15364" width="12.375" style="1" customWidth="1"/>
    <col min="15365" max="15365" width="10.625" style="1" customWidth="1"/>
    <col min="15366" max="15366" width="10.75" style="1" customWidth="1"/>
    <col min="15367" max="15367" width="10.125" style="1" customWidth="1"/>
    <col min="15368" max="15368" width="10.75" style="1" customWidth="1"/>
    <col min="15369" max="15369" width="11" style="1" customWidth="1"/>
    <col min="15370" max="15370" width="9.125" style="1" customWidth="1"/>
    <col min="15371" max="15371" width="9.875" style="1" customWidth="1"/>
    <col min="15372" max="15372" width="9.375" style="1" customWidth="1"/>
    <col min="15373" max="15373" width="9" style="1" customWidth="1"/>
    <col min="15374" max="15374" width="11" style="1" bestFit="1" customWidth="1"/>
    <col min="15375" max="15375" width="9.875" style="1" bestFit="1" customWidth="1"/>
    <col min="15376" max="15377" width="11" style="1" bestFit="1" customWidth="1"/>
    <col min="15378" max="15378" width="8.875" style="1" bestFit="1" customWidth="1"/>
    <col min="15379" max="15617" width="9" style="1"/>
    <col min="15618" max="15618" width="3.75" style="1" bestFit="1" customWidth="1"/>
    <col min="15619" max="15619" width="6" style="1" bestFit="1" customWidth="1"/>
    <col min="15620" max="15620" width="12.375" style="1" customWidth="1"/>
    <col min="15621" max="15621" width="10.625" style="1" customWidth="1"/>
    <col min="15622" max="15622" width="10.75" style="1" customWidth="1"/>
    <col min="15623" max="15623" width="10.125" style="1" customWidth="1"/>
    <col min="15624" max="15624" width="10.75" style="1" customWidth="1"/>
    <col min="15625" max="15625" width="11" style="1" customWidth="1"/>
    <col min="15626" max="15626" width="9.125" style="1" customWidth="1"/>
    <col min="15627" max="15627" width="9.875" style="1" customWidth="1"/>
    <col min="15628" max="15628" width="9.375" style="1" customWidth="1"/>
    <col min="15629" max="15629" width="9" style="1" customWidth="1"/>
    <col min="15630" max="15630" width="11" style="1" bestFit="1" customWidth="1"/>
    <col min="15631" max="15631" width="9.875" style="1" bestFit="1" customWidth="1"/>
    <col min="15632" max="15633" width="11" style="1" bestFit="1" customWidth="1"/>
    <col min="15634" max="15634" width="8.875" style="1" bestFit="1" customWidth="1"/>
    <col min="15635" max="15873" width="9" style="1"/>
    <col min="15874" max="15874" width="3.75" style="1" bestFit="1" customWidth="1"/>
    <col min="15875" max="15875" width="6" style="1" bestFit="1" customWidth="1"/>
    <col min="15876" max="15876" width="12.375" style="1" customWidth="1"/>
    <col min="15877" max="15877" width="10.625" style="1" customWidth="1"/>
    <col min="15878" max="15878" width="10.75" style="1" customWidth="1"/>
    <col min="15879" max="15879" width="10.125" style="1" customWidth="1"/>
    <col min="15880" max="15880" width="10.75" style="1" customWidth="1"/>
    <col min="15881" max="15881" width="11" style="1" customWidth="1"/>
    <col min="15882" max="15882" width="9.125" style="1" customWidth="1"/>
    <col min="15883" max="15883" width="9.875" style="1" customWidth="1"/>
    <col min="15884" max="15884" width="9.375" style="1" customWidth="1"/>
    <col min="15885" max="15885" width="9" style="1" customWidth="1"/>
    <col min="15886" max="15886" width="11" style="1" bestFit="1" customWidth="1"/>
    <col min="15887" max="15887" width="9.875" style="1" bestFit="1" customWidth="1"/>
    <col min="15888" max="15889" width="11" style="1" bestFit="1" customWidth="1"/>
    <col min="15890" max="15890" width="8.875" style="1" bestFit="1" customWidth="1"/>
    <col min="15891" max="16129" width="9" style="1"/>
    <col min="16130" max="16130" width="3.75" style="1" bestFit="1" customWidth="1"/>
    <col min="16131" max="16131" width="6" style="1" bestFit="1" customWidth="1"/>
    <col min="16132" max="16132" width="12.375" style="1" customWidth="1"/>
    <col min="16133" max="16133" width="10.625" style="1" customWidth="1"/>
    <col min="16134" max="16134" width="10.75" style="1" customWidth="1"/>
    <col min="16135" max="16135" width="10.125" style="1" customWidth="1"/>
    <col min="16136" max="16136" width="10.75" style="1" customWidth="1"/>
    <col min="16137" max="16137" width="11" style="1" customWidth="1"/>
    <col min="16138" max="16138" width="9.125" style="1" customWidth="1"/>
    <col min="16139" max="16139" width="9.875" style="1" customWidth="1"/>
    <col min="16140" max="16140" width="9.375" style="1" customWidth="1"/>
    <col min="16141" max="16141" width="9" style="1" customWidth="1"/>
    <col min="16142" max="16142" width="11" style="1" bestFit="1" customWidth="1"/>
    <col min="16143" max="16143" width="9.875" style="1" bestFit="1" customWidth="1"/>
    <col min="16144" max="16145" width="11" style="1" bestFit="1" customWidth="1"/>
    <col min="16146" max="16146" width="8.875" style="1" bestFit="1" customWidth="1"/>
    <col min="16147" max="16384" width="9" style="1"/>
  </cols>
  <sheetData>
    <row r="1" spans="1:19" s="2" customFormat="1" ht="65.25" customHeight="1">
      <c r="A1" s="516" t="s">
        <v>268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19" s="2" customFormat="1" ht="16.5" thickBo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7" t="s">
        <v>0</v>
      </c>
      <c r="R2" s="517"/>
    </row>
    <row r="3" spans="1:19" s="2" customFormat="1" ht="13.5" thickBot="1">
      <c r="A3" s="518" t="s">
        <v>1</v>
      </c>
      <c r="B3" s="518" t="s">
        <v>2</v>
      </c>
      <c r="C3" s="521" t="s">
        <v>3</v>
      </c>
      <c r="D3" s="523" t="s">
        <v>4</v>
      </c>
      <c r="E3" s="525" t="s">
        <v>29</v>
      </c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7"/>
      <c r="S3" s="532" t="s">
        <v>269</v>
      </c>
    </row>
    <row r="4" spans="1:19" s="2" customFormat="1" ht="13.5" thickBot="1">
      <c r="A4" s="519"/>
      <c r="B4" s="519"/>
      <c r="C4" s="522"/>
      <c r="D4" s="519"/>
      <c r="E4" s="535" t="s">
        <v>270</v>
      </c>
      <c r="F4" s="538" t="s">
        <v>30</v>
      </c>
      <c r="G4" s="539"/>
      <c r="H4" s="539"/>
      <c r="I4" s="539"/>
      <c r="J4" s="539"/>
      <c r="K4" s="539"/>
      <c r="L4" s="539"/>
      <c r="M4" s="540"/>
      <c r="N4" s="535" t="s">
        <v>271</v>
      </c>
      <c r="O4" s="541" t="s">
        <v>30</v>
      </c>
      <c r="P4" s="539"/>
      <c r="Q4" s="539"/>
      <c r="R4" s="540"/>
      <c r="S4" s="533"/>
    </row>
    <row r="5" spans="1:19" s="2" customFormat="1">
      <c r="A5" s="519"/>
      <c r="B5" s="519"/>
      <c r="C5" s="522"/>
      <c r="D5" s="519"/>
      <c r="E5" s="536"/>
      <c r="F5" s="523" t="s">
        <v>272</v>
      </c>
      <c r="G5" s="542" t="s">
        <v>31</v>
      </c>
      <c r="H5" s="543"/>
      <c r="I5" s="523" t="s">
        <v>273</v>
      </c>
      <c r="J5" s="528" t="s">
        <v>274</v>
      </c>
      <c r="K5" s="523" t="s">
        <v>275</v>
      </c>
      <c r="L5" s="528" t="s">
        <v>276</v>
      </c>
      <c r="M5" s="523" t="s">
        <v>277</v>
      </c>
      <c r="N5" s="536"/>
      <c r="O5" s="544" t="s">
        <v>278</v>
      </c>
      <c r="P5" s="127" t="s">
        <v>31</v>
      </c>
      <c r="Q5" s="546" t="s">
        <v>279</v>
      </c>
      <c r="R5" s="548" t="s">
        <v>280</v>
      </c>
      <c r="S5" s="533"/>
    </row>
    <row r="6" spans="1:19" s="2" customFormat="1" ht="70.5" customHeight="1" thickBot="1">
      <c r="A6" s="520"/>
      <c r="B6" s="520"/>
      <c r="C6" s="522"/>
      <c r="D6" s="524"/>
      <c r="E6" s="537"/>
      <c r="F6" s="524"/>
      <c r="G6" s="128" t="s">
        <v>281</v>
      </c>
      <c r="H6" s="129" t="s">
        <v>282</v>
      </c>
      <c r="I6" s="530"/>
      <c r="J6" s="529"/>
      <c r="K6" s="530"/>
      <c r="L6" s="529"/>
      <c r="M6" s="530"/>
      <c r="N6" s="537"/>
      <c r="O6" s="545"/>
      <c r="P6" s="130" t="s">
        <v>283</v>
      </c>
      <c r="Q6" s="547"/>
      <c r="R6" s="549"/>
      <c r="S6" s="534"/>
    </row>
    <row r="7" spans="1:19" s="144" customFormat="1" ht="18" customHeight="1" thickBot="1">
      <c r="A7" s="131">
        <v>1</v>
      </c>
      <c r="B7" s="131">
        <v>2</v>
      </c>
      <c r="C7" s="132">
        <v>3</v>
      </c>
      <c r="D7" s="133">
        <v>4</v>
      </c>
      <c r="E7" s="134">
        <v>5</v>
      </c>
      <c r="F7" s="134">
        <v>6</v>
      </c>
      <c r="G7" s="135">
        <v>7</v>
      </c>
      <c r="H7" s="136">
        <v>8</v>
      </c>
      <c r="I7" s="137">
        <v>9</v>
      </c>
      <c r="J7" s="138">
        <v>10</v>
      </c>
      <c r="K7" s="137">
        <v>11</v>
      </c>
      <c r="L7" s="138">
        <v>12</v>
      </c>
      <c r="M7" s="137">
        <v>13</v>
      </c>
      <c r="N7" s="134">
        <v>14</v>
      </c>
      <c r="O7" s="139">
        <v>15</v>
      </c>
      <c r="P7" s="140">
        <v>16</v>
      </c>
      <c r="Q7" s="141">
        <v>17</v>
      </c>
      <c r="R7" s="142">
        <v>18</v>
      </c>
      <c r="S7" s="143">
        <v>19</v>
      </c>
    </row>
    <row r="8" spans="1:19" s="153" customFormat="1" ht="13.5" thickBot="1">
      <c r="A8" s="145" t="s">
        <v>11</v>
      </c>
      <c r="B8" s="145"/>
      <c r="C8" s="146">
        <f>SUM(C9:C17)</f>
        <v>100227628</v>
      </c>
      <c r="D8" s="147">
        <f>SUM(D9:D17)</f>
        <v>98398582</v>
      </c>
      <c r="E8" s="148">
        <f>SUM(E9:E17)</f>
        <v>54004194</v>
      </c>
      <c r="F8" s="148">
        <f>SUM(F9:F17)</f>
        <v>38731758</v>
      </c>
      <c r="G8" s="149">
        <f>SUM(G9:G17)</f>
        <v>17673592</v>
      </c>
      <c r="H8" s="150">
        <f t="shared" ref="H8:R8" si="0">SUM(H9:H17)</f>
        <v>21058166</v>
      </c>
      <c r="I8" s="148">
        <f>SUM(I9:I17)</f>
        <v>7773688</v>
      </c>
      <c r="J8" s="147">
        <f t="shared" si="0"/>
        <v>103076</v>
      </c>
      <c r="K8" s="148">
        <f t="shared" si="0"/>
        <v>7395672</v>
      </c>
      <c r="L8" s="147">
        <f t="shared" si="0"/>
        <v>0</v>
      </c>
      <c r="M8" s="148">
        <f t="shared" si="0"/>
        <v>0</v>
      </c>
      <c r="N8" s="148">
        <f t="shared" si="0"/>
        <v>44394388</v>
      </c>
      <c r="O8" s="149">
        <f>SUM(O9:O17)</f>
        <v>44394388</v>
      </c>
      <c r="P8" s="151">
        <f t="shared" si="0"/>
        <v>32440675</v>
      </c>
      <c r="Q8" s="151">
        <f t="shared" si="0"/>
        <v>0</v>
      </c>
      <c r="R8" s="150">
        <f t="shared" si="0"/>
        <v>0</v>
      </c>
      <c r="S8" s="152">
        <f>D8/C8</f>
        <v>0.98175107965240882</v>
      </c>
    </row>
    <row r="9" spans="1:19" s="165" customFormat="1">
      <c r="A9" s="550"/>
      <c r="B9" s="154" t="s">
        <v>47</v>
      </c>
      <c r="C9" s="155">
        <v>11476330</v>
      </c>
      <c r="D9" s="156">
        <f>SUM(E9,N9)</f>
        <v>11173667</v>
      </c>
      <c r="E9" s="157">
        <f>SUM(F9,M9,L9,K9,J9,I9)</f>
        <v>11022572</v>
      </c>
      <c r="F9" s="157">
        <f>SUM(G9:H9)</f>
        <v>10953806</v>
      </c>
      <c r="G9" s="158">
        <f>6468553+471821+1138354+126458+110959</f>
        <v>8316145</v>
      </c>
      <c r="H9" s="159">
        <f>68855+691183+312743+531861+8399+286636+11173+15123+24275+192+14712+133981+229580+30248+131315+69598+6296+51049+701+19741</f>
        <v>2637661</v>
      </c>
      <c r="I9" s="160"/>
      <c r="J9" s="161">
        <v>68766</v>
      </c>
      <c r="K9" s="160"/>
      <c r="L9" s="161"/>
      <c r="M9" s="160"/>
      <c r="N9" s="157">
        <f t="shared" ref="N9:N16" si="1">SUM(O9,Q9,R9)</f>
        <v>151095</v>
      </c>
      <c r="O9" s="158">
        <f>87626+63469</f>
        <v>151095</v>
      </c>
      <c r="P9" s="162"/>
      <c r="Q9" s="162"/>
      <c r="R9" s="163"/>
      <c r="S9" s="164">
        <f>D9/C9</f>
        <v>0.97362719615068583</v>
      </c>
    </row>
    <row r="10" spans="1:19" s="2" customFormat="1">
      <c r="A10" s="550"/>
      <c r="B10" s="166" t="s">
        <v>12</v>
      </c>
      <c r="C10" s="167">
        <v>20000</v>
      </c>
      <c r="D10" s="168">
        <f>SUM(E10,N10)</f>
        <v>19999</v>
      </c>
      <c r="E10" s="169">
        <f t="shared" ref="E10:E16" si="2">SUM(F10,M10,L10,K10,J10,I10)</f>
        <v>19999</v>
      </c>
      <c r="F10" s="169">
        <f t="shared" ref="F10:F17" si="3">SUM(G10:H10)</f>
        <v>19999</v>
      </c>
      <c r="G10" s="170">
        <f>9277+1595+227</f>
        <v>11099</v>
      </c>
      <c r="H10" s="171">
        <v>8900</v>
      </c>
      <c r="I10" s="169"/>
      <c r="J10" s="168"/>
      <c r="K10" s="169"/>
      <c r="L10" s="168"/>
      <c r="M10" s="169"/>
      <c r="N10" s="169">
        <f t="shared" si="1"/>
        <v>0</v>
      </c>
      <c r="O10" s="170"/>
      <c r="P10" s="172"/>
      <c r="Q10" s="172"/>
      <c r="R10" s="171"/>
      <c r="S10" s="164">
        <f t="shared" ref="S10:S74" si="4">D10/C10</f>
        <v>0.99995000000000001</v>
      </c>
    </row>
    <row r="11" spans="1:19" s="2" customFormat="1">
      <c r="A11" s="550"/>
      <c r="B11" s="166" t="s">
        <v>51</v>
      </c>
      <c r="C11" s="167">
        <v>11109600</v>
      </c>
      <c r="D11" s="168">
        <f t="shared" ref="D11:D17" si="5">SUM(E11,N11)</f>
        <v>11081388</v>
      </c>
      <c r="E11" s="169">
        <f t="shared" si="2"/>
        <v>10883219</v>
      </c>
      <c r="F11" s="169">
        <f t="shared" si="3"/>
        <v>10848909</v>
      </c>
      <c r="G11" s="170">
        <f>7356107+563456+1282845+111840+32100</f>
        <v>9346348</v>
      </c>
      <c r="H11" s="171">
        <f>123997+319369+185164+183039+5483+238321+29968+17695+63345+29070+8754+1459+36004+204594+26114+229+20347+9609</f>
        <v>1502561</v>
      </c>
      <c r="I11" s="169"/>
      <c r="J11" s="168">
        <v>34310</v>
      </c>
      <c r="K11" s="169"/>
      <c r="L11" s="168"/>
      <c r="M11" s="169"/>
      <c r="N11" s="169">
        <f t="shared" si="1"/>
        <v>198169</v>
      </c>
      <c r="O11" s="170">
        <v>198169</v>
      </c>
      <c r="P11" s="172"/>
      <c r="Q11" s="172"/>
      <c r="R11" s="171"/>
      <c r="S11" s="164">
        <f t="shared" si="4"/>
        <v>0.99746057463815074</v>
      </c>
    </row>
    <row r="12" spans="1:19" s="2" customFormat="1">
      <c r="A12" s="550"/>
      <c r="B12" s="166" t="s">
        <v>14</v>
      </c>
      <c r="C12" s="167">
        <v>42421225</v>
      </c>
      <c r="D12" s="168">
        <f t="shared" si="5"/>
        <v>42408341</v>
      </c>
      <c r="E12" s="169">
        <f t="shared" si="2"/>
        <v>15441277</v>
      </c>
      <c r="F12" s="169">
        <f t="shared" si="3"/>
        <v>15441277</v>
      </c>
      <c r="G12" s="170"/>
      <c r="H12" s="171">
        <f>2086+368095+14024249+1024491+9612+1037+9695+2012</f>
        <v>15441277</v>
      </c>
      <c r="I12" s="169"/>
      <c r="J12" s="168"/>
      <c r="K12" s="169"/>
      <c r="L12" s="168"/>
      <c r="M12" s="169"/>
      <c r="N12" s="169">
        <f t="shared" si="1"/>
        <v>26967064</v>
      </c>
      <c r="O12" s="170">
        <f>22874668+4062396+30000</f>
        <v>26967064</v>
      </c>
      <c r="P12" s="172">
        <v>24669983</v>
      </c>
      <c r="Q12" s="172"/>
      <c r="R12" s="171"/>
      <c r="S12" s="164">
        <f t="shared" si="4"/>
        <v>0.99969628411249323</v>
      </c>
    </row>
    <row r="13" spans="1:19" s="2" customFormat="1">
      <c r="A13" s="550"/>
      <c r="B13" s="166" t="s">
        <v>284</v>
      </c>
      <c r="C13" s="167">
        <v>600000</v>
      </c>
      <c r="D13" s="168">
        <f t="shared" si="5"/>
        <v>599438</v>
      </c>
      <c r="E13" s="169">
        <f t="shared" si="2"/>
        <v>599438</v>
      </c>
      <c r="F13" s="169">
        <f t="shared" si="3"/>
        <v>0</v>
      </c>
      <c r="G13" s="170"/>
      <c r="H13" s="171"/>
      <c r="I13" s="169">
        <v>599438</v>
      </c>
      <c r="J13" s="168"/>
      <c r="K13" s="169"/>
      <c r="L13" s="168"/>
      <c r="M13" s="169"/>
      <c r="N13" s="169">
        <f t="shared" si="1"/>
        <v>0</v>
      </c>
      <c r="O13" s="170"/>
      <c r="P13" s="172"/>
      <c r="Q13" s="172"/>
      <c r="R13" s="171"/>
      <c r="S13" s="164">
        <f t="shared" si="4"/>
        <v>0.9990633333333333</v>
      </c>
    </row>
    <row r="14" spans="1:19" s="2" customFormat="1">
      <c r="A14" s="550"/>
      <c r="B14" s="166" t="s">
        <v>16</v>
      </c>
      <c r="C14" s="167">
        <v>5520000</v>
      </c>
      <c r="D14" s="168">
        <f t="shared" si="5"/>
        <v>4908991</v>
      </c>
      <c r="E14" s="169">
        <f t="shared" si="2"/>
        <v>4821491</v>
      </c>
      <c r="F14" s="169">
        <f t="shared" si="3"/>
        <v>0</v>
      </c>
      <c r="G14" s="170"/>
      <c r="H14" s="171"/>
      <c r="I14" s="169"/>
      <c r="J14" s="168"/>
      <c r="K14" s="169">
        <f>1594+531+1875473+625158+119252+39751+333044+111058+44962+15002+49883+172139+57381+180002+863955+287986+163+531+177+1461+5127+1709+1018+15688+5230+406+135+4899+1633+4607+1536</f>
        <v>4821491</v>
      </c>
      <c r="L14" s="168"/>
      <c r="M14" s="169"/>
      <c r="N14" s="169">
        <f t="shared" si="1"/>
        <v>87500</v>
      </c>
      <c r="O14" s="170">
        <v>87500</v>
      </c>
      <c r="P14" s="172">
        <f>27500+45000+15000</f>
        <v>87500</v>
      </c>
      <c r="Q14" s="172"/>
      <c r="R14" s="171"/>
      <c r="S14" s="164">
        <f t="shared" si="4"/>
        <v>0.889309963768116</v>
      </c>
    </row>
    <row r="15" spans="1:19" s="2" customFormat="1">
      <c r="A15" s="550"/>
      <c r="B15" s="166" t="s">
        <v>65</v>
      </c>
      <c r="C15" s="167">
        <v>12391099</v>
      </c>
      <c r="D15" s="168">
        <f t="shared" si="5"/>
        <v>11602034</v>
      </c>
      <c r="E15" s="169">
        <f t="shared" si="2"/>
        <v>5215688</v>
      </c>
      <c r="F15" s="169">
        <f t="shared" si="3"/>
        <v>70652</v>
      </c>
      <c r="G15" s="170"/>
      <c r="H15" s="171">
        <v>70652</v>
      </c>
      <c r="I15" s="169">
        <f>5126827+18209</f>
        <v>5145036</v>
      </c>
      <c r="J15" s="168"/>
      <c r="K15" s="169"/>
      <c r="L15" s="168"/>
      <c r="M15" s="169"/>
      <c r="N15" s="169">
        <f t="shared" si="1"/>
        <v>6386346</v>
      </c>
      <c r="O15" s="170">
        <f>170423+6184366+31557</f>
        <v>6386346</v>
      </c>
      <c r="P15" s="172"/>
      <c r="Q15" s="172"/>
      <c r="R15" s="171"/>
      <c r="S15" s="164">
        <f t="shared" si="4"/>
        <v>0.9363200148751939</v>
      </c>
    </row>
    <row r="16" spans="1:19" s="2" customFormat="1" ht="14.25" customHeight="1">
      <c r="A16" s="550"/>
      <c r="B16" s="166" t="s">
        <v>18</v>
      </c>
      <c r="C16" s="167">
        <v>13672251</v>
      </c>
      <c r="D16" s="168">
        <f t="shared" si="5"/>
        <v>13662710</v>
      </c>
      <c r="E16" s="169">
        <f t="shared" si="2"/>
        <v>3304461</v>
      </c>
      <c r="F16" s="169">
        <f t="shared" si="3"/>
        <v>730280</v>
      </c>
      <c r="G16" s="170"/>
      <c r="H16" s="171">
        <v>730280</v>
      </c>
      <c r="I16" s="169"/>
      <c r="J16" s="168"/>
      <c r="K16" s="169">
        <f>2530300+43881</f>
        <v>2574181</v>
      </c>
      <c r="L16" s="168"/>
      <c r="M16" s="169"/>
      <c r="N16" s="169">
        <f t="shared" si="1"/>
        <v>10358249</v>
      </c>
      <c r="O16" s="215">
        <f>7441185+2498000+173025+246039</f>
        <v>10358249</v>
      </c>
      <c r="P16" s="172">
        <v>7683192</v>
      </c>
      <c r="Q16" s="172"/>
      <c r="R16" s="171"/>
      <c r="S16" s="164">
        <f t="shared" si="4"/>
        <v>0.9993021631917085</v>
      </c>
    </row>
    <row r="17" spans="1:19" s="2" customFormat="1" ht="12.75" customHeight="1" thickBot="1">
      <c r="A17" s="550"/>
      <c r="B17" s="166" t="s">
        <v>36</v>
      </c>
      <c r="C17" s="167">
        <v>3017123</v>
      </c>
      <c r="D17" s="168">
        <f t="shared" si="5"/>
        <v>2942014</v>
      </c>
      <c r="E17" s="169">
        <f>SUM(F17,M17,L17,K17,J17,I17)</f>
        <v>2696049</v>
      </c>
      <c r="F17" s="169">
        <f t="shared" si="3"/>
        <v>666835</v>
      </c>
      <c r="G17" s="170"/>
      <c r="H17" s="171">
        <f>52722+208392+132312+244583+28826</f>
        <v>666835</v>
      </c>
      <c r="I17" s="169">
        <f>1836890+192324</f>
        <v>2029214</v>
      </c>
      <c r="J17" s="168"/>
      <c r="K17" s="169"/>
      <c r="L17" s="168"/>
      <c r="M17" s="169"/>
      <c r="N17" s="169">
        <f>SUM(O17,Q17,R17)</f>
        <v>245965</v>
      </c>
      <c r="O17" s="170">
        <v>245965</v>
      </c>
      <c r="P17" s="172"/>
      <c r="Q17" s="172"/>
      <c r="R17" s="171"/>
      <c r="S17" s="173">
        <f t="shared" si="4"/>
        <v>0.97510575472063954</v>
      </c>
    </row>
    <row r="18" spans="1:19" s="153" customFormat="1" ht="13.5" thickBot="1">
      <c r="A18" s="145" t="s">
        <v>76</v>
      </c>
      <c r="B18" s="145"/>
      <c r="C18" s="146">
        <f>SUM(C19)</f>
        <v>504579</v>
      </c>
      <c r="D18" s="147">
        <f>SUM(D19)</f>
        <v>461345</v>
      </c>
      <c r="E18" s="148">
        <f t="shared" ref="E18:R18" si="6">SUM(E19)</f>
        <v>452034</v>
      </c>
      <c r="F18" s="148">
        <f t="shared" si="6"/>
        <v>0</v>
      </c>
      <c r="G18" s="149">
        <f t="shared" si="6"/>
        <v>0</v>
      </c>
      <c r="H18" s="150">
        <f t="shared" si="6"/>
        <v>0</v>
      </c>
      <c r="I18" s="148">
        <f t="shared" si="6"/>
        <v>0</v>
      </c>
      <c r="J18" s="147">
        <f t="shared" si="6"/>
        <v>0</v>
      </c>
      <c r="K18" s="148">
        <f t="shared" si="6"/>
        <v>452034</v>
      </c>
      <c r="L18" s="147">
        <f t="shared" si="6"/>
        <v>0</v>
      </c>
      <c r="M18" s="148">
        <f t="shared" si="6"/>
        <v>0</v>
      </c>
      <c r="N18" s="148">
        <f t="shared" si="6"/>
        <v>9311</v>
      </c>
      <c r="O18" s="149">
        <f>SUM(O19)</f>
        <v>9311</v>
      </c>
      <c r="P18" s="151">
        <f t="shared" si="6"/>
        <v>9311</v>
      </c>
      <c r="Q18" s="151">
        <f t="shared" si="6"/>
        <v>0</v>
      </c>
      <c r="R18" s="150">
        <f t="shared" si="6"/>
        <v>0</v>
      </c>
      <c r="S18" s="152">
        <f t="shared" si="4"/>
        <v>0.91431668777337149</v>
      </c>
    </row>
    <row r="19" spans="1:19" s="2" customFormat="1" ht="13.5" thickBot="1">
      <c r="A19" s="174"/>
      <c r="B19" s="174" t="s">
        <v>78</v>
      </c>
      <c r="C19" s="175">
        <v>504579</v>
      </c>
      <c r="D19" s="176">
        <f>SUM(E19,N19)</f>
        <v>461345</v>
      </c>
      <c r="E19" s="177">
        <f>SUM(F19,M19,L19,K19,J19,I19)</f>
        <v>452034</v>
      </c>
      <c r="F19" s="177">
        <f>SUM(G19:H19)</f>
        <v>0</v>
      </c>
      <c r="G19" s="178"/>
      <c r="H19" s="179"/>
      <c r="I19" s="177"/>
      <c r="J19" s="176"/>
      <c r="K19" s="177">
        <f>271091+90364+8161+2720+46132+15378+5696+1899+391+1324+441+254+828+276+383+3454+1151+1568+523</f>
        <v>452034</v>
      </c>
      <c r="L19" s="176"/>
      <c r="M19" s="177"/>
      <c r="N19" s="177">
        <f>SUM(O19,Q19,R19)</f>
        <v>9311</v>
      </c>
      <c r="O19" s="178">
        <v>9311</v>
      </c>
      <c r="P19" s="180">
        <f>1741+5678+1892</f>
        <v>9311</v>
      </c>
      <c r="Q19" s="180"/>
      <c r="R19" s="179"/>
      <c r="S19" s="173">
        <f t="shared" si="4"/>
        <v>0.91431668777337149</v>
      </c>
    </row>
    <row r="20" spans="1:19" s="153" customFormat="1" ht="13.5" thickBot="1">
      <c r="A20" s="145" t="s">
        <v>82</v>
      </c>
      <c r="B20" s="145"/>
      <c r="C20" s="146">
        <f>SUM(C21:C23)</f>
        <v>73826969</v>
      </c>
      <c r="D20" s="147">
        <f t="shared" ref="D20:R20" si="7">SUM(D21,D22:D23)</f>
        <v>47691328</v>
      </c>
      <c r="E20" s="148">
        <f t="shared" si="7"/>
        <v>11654731</v>
      </c>
      <c r="F20" s="148">
        <f t="shared" si="7"/>
        <v>32310</v>
      </c>
      <c r="G20" s="149">
        <f t="shared" si="7"/>
        <v>0</v>
      </c>
      <c r="H20" s="150">
        <f t="shared" si="7"/>
        <v>32310</v>
      </c>
      <c r="I20" s="148">
        <f t="shared" si="7"/>
        <v>10460457</v>
      </c>
      <c r="J20" s="147">
        <f t="shared" si="7"/>
        <v>0</v>
      </c>
      <c r="K20" s="148">
        <f t="shared" si="7"/>
        <v>1161964</v>
      </c>
      <c r="L20" s="147">
        <f t="shared" si="7"/>
        <v>0</v>
      </c>
      <c r="M20" s="148">
        <f t="shared" si="7"/>
        <v>0</v>
      </c>
      <c r="N20" s="148">
        <f t="shared" si="7"/>
        <v>36036597</v>
      </c>
      <c r="O20" s="149">
        <f t="shared" si="7"/>
        <v>36036597</v>
      </c>
      <c r="P20" s="151">
        <f t="shared" si="7"/>
        <v>42108</v>
      </c>
      <c r="Q20" s="151">
        <f t="shared" si="7"/>
        <v>0</v>
      </c>
      <c r="R20" s="150">
        <f t="shared" si="7"/>
        <v>0</v>
      </c>
      <c r="S20" s="152">
        <f t="shared" si="4"/>
        <v>0.64598789095621678</v>
      </c>
    </row>
    <row r="21" spans="1:19" s="165" customFormat="1" ht="12" customHeight="1">
      <c r="A21" s="550"/>
      <c r="B21" s="154" t="s">
        <v>84</v>
      </c>
      <c r="C21" s="155">
        <v>64810995</v>
      </c>
      <c r="D21" s="161">
        <f>SUM(E21,N21)</f>
        <v>40859650</v>
      </c>
      <c r="E21" s="169">
        <f>SUM(F21,M21,L21,K21,J21,I21)</f>
        <v>4865161</v>
      </c>
      <c r="F21" s="160">
        <f>SUM(G21:H21)</f>
        <v>21225</v>
      </c>
      <c r="G21" s="158"/>
      <c r="H21" s="163">
        <f>21223+2</f>
        <v>21225</v>
      </c>
      <c r="I21" s="160">
        <f>4387749+1106+455081</f>
        <v>4843936</v>
      </c>
      <c r="J21" s="161"/>
      <c r="K21" s="160"/>
      <c r="L21" s="161"/>
      <c r="M21" s="160"/>
      <c r="N21" s="160">
        <f>SUM(O21,Q21,R21)</f>
        <v>35994489</v>
      </c>
      <c r="O21" s="158">
        <f>35955439+32348+6702</f>
        <v>35994489</v>
      </c>
      <c r="P21" s="162"/>
      <c r="Q21" s="162"/>
      <c r="R21" s="163"/>
      <c r="S21" s="164">
        <f t="shared" si="4"/>
        <v>0.63044318329011917</v>
      </c>
    </row>
    <row r="22" spans="1:19" s="165" customFormat="1">
      <c r="A22" s="550"/>
      <c r="B22" s="181" t="s">
        <v>90</v>
      </c>
      <c r="C22" s="182">
        <v>7616337</v>
      </c>
      <c r="D22" s="168">
        <f>SUM(E22,N22)</f>
        <v>5627606</v>
      </c>
      <c r="E22" s="169">
        <f>SUM(F22,M22,L22,K22,J22,I22)</f>
        <v>5627606</v>
      </c>
      <c r="F22" s="169">
        <f>SUM(G22:H22)</f>
        <v>11085</v>
      </c>
      <c r="G22" s="183"/>
      <c r="H22" s="184">
        <f>6862+2+4221</f>
        <v>11085</v>
      </c>
      <c r="I22" s="185">
        <f>5235183+1721+379617</f>
        <v>5616521</v>
      </c>
      <c r="J22" s="186"/>
      <c r="K22" s="185"/>
      <c r="L22" s="186"/>
      <c r="M22" s="185"/>
      <c r="N22" s="169">
        <f t="shared" ref="N22:N42" si="8">SUM(O22,Q22,R22)</f>
        <v>0</v>
      </c>
      <c r="O22" s="183">
        <v>0</v>
      </c>
      <c r="P22" s="187"/>
      <c r="Q22" s="187"/>
      <c r="R22" s="184"/>
      <c r="S22" s="164">
        <f t="shared" si="4"/>
        <v>0.73888616010557306</v>
      </c>
    </row>
    <row r="23" spans="1:19" s="2" customFormat="1" ht="13.5" thickBot="1">
      <c r="A23" s="550"/>
      <c r="B23" s="188" t="s">
        <v>285</v>
      </c>
      <c r="C23" s="189">
        <v>1399637</v>
      </c>
      <c r="D23" s="190">
        <f>SUM(E23,N23)</f>
        <v>1204072</v>
      </c>
      <c r="E23" s="191">
        <f>SUM(F23,M23,L23,K23,J23,I23)</f>
        <v>1161964</v>
      </c>
      <c r="F23" s="191">
        <f>SUM(G23:H23)</f>
        <v>0</v>
      </c>
      <c r="G23" s="192"/>
      <c r="H23" s="193"/>
      <c r="I23" s="191"/>
      <c r="J23" s="190"/>
      <c r="K23" s="191">
        <f>96955+17110+237074+41837+18355+3239+43049+7597+5514+973+23885+4215+22814+4026+3158+557+484000+85412+101+18+1392+246+26291+4640+4979+879+23281+367</f>
        <v>1161964</v>
      </c>
      <c r="L23" s="190"/>
      <c r="M23" s="191"/>
      <c r="N23" s="191">
        <f t="shared" si="8"/>
        <v>42108</v>
      </c>
      <c r="O23" s="192">
        <v>42108</v>
      </c>
      <c r="P23" s="194">
        <f>30192+5328+5600+988</f>
        <v>42108</v>
      </c>
      <c r="Q23" s="194"/>
      <c r="R23" s="193"/>
      <c r="S23" s="173">
        <f t="shared" si="4"/>
        <v>0.86027448545587182</v>
      </c>
    </row>
    <row r="24" spans="1:19" s="153" customFormat="1" ht="13.5" thickBot="1">
      <c r="A24" s="145" t="s">
        <v>286</v>
      </c>
      <c r="B24" s="145"/>
      <c r="C24" s="146">
        <f>SUM(C25:C27)</f>
        <v>662502</v>
      </c>
      <c r="D24" s="147">
        <f>SUM(D25:D27)</f>
        <v>543085</v>
      </c>
      <c r="E24" s="148">
        <f t="shared" ref="E24:R24" si="9">SUM(E25:E27)</f>
        <v>0</v>
      </c>
      <c r="F24" s="148">
        <f t="shared" si="9"/>
        <v>0</v>
      </c>
      <c r="G24" s="149">
        <f t="shared" si="9"/>
        <v>0</v>
      </c>
      <c r="H24" s="150">
        <f t="shared" si="9"/>
        <v>0</v>
      </c>
      <c r="I24" s="148">
        <f t="shared" si="9"/>
        <v>0</v>
      </c>
      <c r="J24" s="147">
        <f t="shared" si="9"/>
        <v>0</v>
      </c>
      <c r="K24" s="148">
        <f t="shared" si="9"/>
        <v>0</v>
      </c>
      <c r="L24" s="147">
        <f t="shared" si="9"/>
        <v>0</v>
      </c>
      <c r="M24" s="148">
        <f t="shared" si="9"/>
        <v>0</v>
      </c>
      <c r="N24" s="148">
        <f t="shared" si="9"/>
        <v>543085</v>
      </c>
      <c r="O24" s="149">
        <f>SUM(O25:O27)</f>
        <v>543085</v>
      </c>
      <c r="P24" s="151">
        <f t="shared" si="9"/>
        <v>0</v>
      </c>
      <c r="Q24" s="151">
        <f t="shared" si="9"/>
        <v>0</v>
      </c>
      <c r="R24" s="150">
        <f t="shared" si="9"/>
        <v>0</v>
      </c>
      <c r="S24" s="152">
        <f t="shared" si="4"/>
        <v>0.81974846868386808</v>
      </c>
    </row>
    <row r="25" spans="1:19" s="2" customFormat="1">
      <c r="A25" s="531"/>
      <c r="B25" s="195" t="s">
        <v>287</v>
      </c>
      <c r="C25" s="196">
        <v>498907</v>
      </c>
      <c r="D25" s="156">
        <f>SUM(E25,N25)</f>
        <v>495436</v>
      </c>
      <c r="E25" s="157">
        <f>SUM(F25,M25,L25,K25,J25,I25)</f>
        <v>0</v>
      </c>
      <c r="F25" s="157">
        <f>SUM(G25:H25)</f>
        <v>0</v>
      </c>
      <c r="G25" s="197"/>
      <c r="H25" s="198"/>
      <c r="I25" s="157"/>
      <c r="J25" s="156"/>
      <c r="K25" s="157"/>
      <c r="L25" s="156"/>
      <c r="M25" s="157"/>
      <c r="N25" s="157">
        <f>SUM(O25,Q25,R25)</f>
        <v>495436</v>
      </c>
      <c r="O25" s="197">
        <v>495436</v>
      </c>
      <c r="P25" s="199">
        <v>0</v>
      </c>
      <c r="Q25" s="199"/>
      <c r="R25" s="198"/>
      <c r="S25" s="164">
        <f t="shared" si="4"/>
        <v>0.99304279154231145</v>
      </c>
    </row>
    <row r="26" spans="1:19" s="2" customFormat="1">
      <c r="A26" s="531"/>
      <c r="B26" s="166" t="s">
        <v>288</v>
      </c>
      <c r="C26" s="167">
        <v>47650</v>
      </c>
      <c r="D26" s="168">
        <f>SUM(E26,N26)</f>
        <v>47649</v>
      </c>
      <c r="E26" s="169">
        <f>SUM(F26,M26,L26,K26,J26,I26)</f>
        <v>0</v>
      </c>
      <c r="F26" s="169">
        <f>SUM(G26:H26)</f>
        <v>0</v>
      </c>
      <c r="G26" s="170"/>
      <c r="H26" s="171"/>
      <c r="I26" s="169"/>
      <c r="J26" s="168"/>
      <c r="K26" s="169"/>
      <c r="L26" s="168"/>
      <c r="M26" s="169"/>
      <c r="N26" s="169">
        <f>SUM(O26,Q26,R26)</f>
        <v>47649</v>
      </c>
      <c r="O26" s="170">
        <v>47649</v>
      </c>
      <c r="P26" s="172"/>
      <c r="Q26" s="172"/>
      <c r="R26" s="171"/>
      <c r="S26" s="164">
        <f t="shared" si="4"/>
        <v>0.99997901364113329</v>
      </c>
    </row>
    <row r="27" spans="1:19" s="2" customFormat="1" ht="13.5" thickBot="1">
      <c r="A27" s="531"/>
      <c r="B27" s="188" t="s">
        <v>289</v>
      </c>
      <c r="C27" s="189">
        <v>115945</v>
      </c>
      <c r="D27" s="190">
        <f>SUM(E27,N27)</f>
        <v>0</v>
      </c>
      <c r="E27" s="191">
        <f>SUM(F27,M27,L27,K27,J27,I27)</f>
        <v>0</v>
      </c>
      <c r="F27" s="191">
        <f>SUM(G27:H27)</f>
        <v>0</v>
      </c>
      <c r="G27" s="192"/>
      <c r="H27" s="193"/>
      <c r="I27" s="191"/>
      <c r="J27" s="190"/>
      <c r="K27" s="191"/>
      <c r="L27" s="190"/>
      <c r="M27" s="191"/>
      <c r="N27" s="191">
        <f>SUM(O27,Q27,R27)</f>
        <v>0</v>
      </c>
      <c r="O27" s="192">
        <v>0</v>
      </c>
      <c r="P27" s="194"/>
      <c r="Q27" s="194"/>
      <c r="R27" s="193"/>
      <c r="S27" s="173">
        <f t="shared" si="4"/>
        <v>0</v>
      </c>
    </row>
    <row r="28" spans="1:19" s="153" customFormat="1" ht="13.5" thickBot="1">
      <c r="A28" s="145" t="s">
        <v>92</v>
      </c>
      <c r="B28" s="145"/>
      <c r="C28" s="146">
        <f>SUM(C29)</f>
        <v>301185</v>
      </c>
      <c r="D28" s="147">
        <f>SUM(D29)</f>
        <v>264369</v>
      </c>
      <c r="E28" s="148">
        <f t="shared" ref="E28:R28" si="10">SUM(E29)</f>
        <v>264369</v>
      </c>
      <c r="F28" s="148">
        <f t="shared" si="10"/>
        <v>0</v>
      </c>
      <c r="G28" s="149">
        <f t="shared" si="10"/>
        <v>0</v>
      </c>
      <c r="H28" s="150">
        <f t="shared" si="10"/>
        <v>0</v>
      </c>
      <c r="I28" s="148">
        <f t="shared" si="10"/>
        <v>0</v>
      </c>
      <c r="J28" s="147">
        <f t="shared" si="10"/>
        <v>0</v>
      </c>
      <c r="K28" s="148">
        <f t="shared" si="10"/>
        <v>264369</v>
      </c>
      <c r="L28" s="147">
        <f t="shared" si="10"/>
        <v>0</v>
      </c>
      <c r="M28" s="148">
        <f t="shared" si="10"/>
        <v>0</v>
      </c>
      <c r="N28" s="148">
        <f t="shared" si="10"/>
        <v>0</v>
      </c>
      <c r="O28" s="149">
        <f t="shared" si="10"/>
        <v>0</v>
      </c>
      <c r="P28" s="151">
        <f t="shared" si="10"/>
        <v>0</v>
      </c>
      <c r="Q28" s="151">
        <f t="shared" si="10"/>
        <v>0</v>
      </c>
      <c r="R28" s="150">
        <f t="shared" si="10"/>
        <v>0</v>
      </c>
      <c r="S28" s="152">
        <f t="shared" si="4"/>
        <v>0.87776283679466105</v>
      </c>
    </row>
    <row r="29" spans="1:19" s="2" customFormat="1" ht="13.5" thickBot="1">
      <c r="A29" s="174"/>
      <c r="B29" s="174" t="s">
        <v>94</v>
      </c>
      <c r="C29" s="175">
        <v>301185</v>
      </c>
      <c r="D29" s="176">
        <f>SUM(E29,N29)</f>
        <v>264369</v>
      </c>
      <c r="E29" s="177">
        <f>SUM(F29,M29,L29,K29,J29,I29)</f>
        <v>264369</v>
      </c>
      <c r="F29" s="177">
        <f>SUM(G29:H29)</f>
        <v>0</v>
      </c>
      <c r="G29" s="178"/>
      <c r="H29" s="179"/>
      <c r="I29" s="177"/>
      <c r="J29" s="176"/>
      <c r="K29" s="177">
        <f>150692+26593+25365+4477+3645+643+2250+397+12023+2122+30738+5424</f>
        <v>264369</v>
      </c>
      <c r="L29" s="176"/>
      <c r="M29" s="177"/>
      <c r="N29" s="177">
        <f>SUM(O29,Q29,R29)</f>
        <v>0</v>
      </c>
      <c r="O29" s="178"/>
      <c r="P29" s="180"/>
      <c r="Q29" s="180"/>
      <c r="R29" s="179"/>
      <c r="S29" s="173">
        <f t="shared" si="4"/>
        <v>0.87776283679466105</v>
      </c>
    </row>
    <row r="30" spans="1:19" s="153" customFormat="1" ht="13.5" thickBot="1">
      <c r="A30" s="145" t="s">
        <v>98</v>
      </c>
      <c r="B30" s="145"/>
      <c r="C30" s="146">
        <f>SUM(C31:C39)</f>
        <v>382386159</v>
      </c>
      <c r="D30" s="200">
        <f>SUM(D31:D39)</f>
        <v>348547543</v>
      </c>
      <c r="E30" s="148">
        <f t="shared" ref="E30:R30" si="11">SUM(E31:E39)</f>
        <v>167367607</v>
      </c>
      <c r="F30" s="148">
        <f t="shared" si="11"/>
        <v>112212216</v>
      </c>
      <c r="G30" s="149">
        <f t="shared" si="11"/>
        <v>12458858</v>
      </c>
      <c r="H30" s="201">
        <f t="shared" si="11"/>
        <v>99753358</v>
      </c>
      <c r="I30" s="147">
        <f t="shared" si="11"/>
        <v>53267183</v>
      </c>
      <c r="J30" s="148">
        <f t="shared" si="11"/>
        <v>130614</v>
      </c>
      <c r="K30" s="147">
        <f t="shared" si="11"/>
        <v>1757594</v>
      </c>
      <c r="L30" s="148">
        <f t="shared" si="11"/>
        <v>0</v>
      </c>
      <c r="M30" s="147">
        <f t="shared" si="11"/>
        <v>0</v>
      </c>
      <c r="N30" s="148">
        <f t="shared" si="11"/>
        <v>181179936</v>
      </c>
      <c r="O30" s="149">
        <f t="shared" si="11"/>
        <v>177618136</v>
      </c>
      <c r="P30" s="151">
        <f t="shared" si="11"/>
        <v>132711533</v>
      </c>
      <c r="Q30" s="151">
        <f t="shared" si="11"/>
        <v>0</v>
      </c>
      <c r="R30" s="201">
        <f t="shared" si="11"/>
        <v>3561800</v>
      </c>
      <c r="S30" s="152">
        <f t="shared" si="4"/>
        <v>0.91150669237481474</v>
      </c>
    </row>
    <row r="31" spans="1:19" s="2" customFormat="1">
      <c r="A31" s="552"/>
      <c r="B31" s="195" t="s">
        <v>100</v>
      </c>
      <c r="C31" s="196">
        <v>49554551</v>
      </c>
      <c r="D31" s="156">
        <f t="shared" ref="D31:D39" si="12">SUM(E31,N31)</f>
        <v>48949719</v>
      </c>
      <c r="E31" s="157">
        <f t="shared" ref="E31:E39" si="13">SUM(F31,M31,L31,K31,J31,I31)</f>
        <v>48949719</v>
      </c>
      <c r="F31" s="157">
        <f t="shared" ref="F31:F39" si="14">SUM(G31:H31)</f>
        <v>48923397</v>
      </c>
      <c r="G31" s="197"/>
      <c r="H31" s="198">
        <f>7945304+40488491+47115+446552-4065</f>
        <v>48923397</v>
      </c>
      <c r="I31" s="157"/>
      <c r="J31" s="156"/>
      <c r="K31" s="157">
        <v>26322</v>
      </c>
      <c r="L31" s="156"/>
      <c r="M31" s="157"/>
      <c r="N31" s="157">
        <f t="shared" si="8"/>
        <v>0</v>
      </c>
      <c r="O31" s="197">
        <v>0</v>
      </c>
      <c r="P31" s="199">
        <v>0</v>
      </c>
      <c r="Q31" s="199"/>
      <c r="R31" s="198"/>
      <c r="S31" s="164">
        <f t="shared" si="4"/>
        <v>0.98779462253628325</v>
      </c>
    </row>
    <row r="32" spans="1:19" s="2" customFormat="1">
      <c r="A32" s="553"/>
      <c r="B32" s="166" t="s">
        <v>290</v>
      </c>
      <c r="C32" s="167">
        <v>650000</v>
      </c>
      <c r="D32" s="168">
        <f t="shared" si="12"/>
        <v>148813</v>
      </c>
      <c r="E32" s="169">
        <f>SUM(F32,M32,L32,K32,J32,I32)</f>
        <v>148813</v>
      </c>
      <c r="F32" s="169">
        <f t="shared" si="14"/>
        <v>0</v>
      </c>
      <c r="G32" s="170"/>
      <c r="H32" s="171">
        <v>0</v>
      </c>
      <c r="I32" s="169">
        <v>148813</v>
      </c>
      <c r="J32" s="168"/>
      <c r="K32" s="169"/>
      <c r="L32" s="168"/>
      <c r="M32" s="169"/>
      <c r="N32" s="157">
        <f t="shared" si="8"/>
        <v>0</v>
      </c>
      <c r="O32" s="170"/>
      <c r="P32" s="172"/>
      <c r="Q32" s="172"/>
      <c r="R32" s="171"/>
      <c r="S32" s="164">
        <f t="shared" si="4"/>
        <v>0.22894307692307692</v>
      </c>
    </row>
    <row r="33" spans="1:19" s="2" customFormat="1">
      <c r="A33" s="553"/>
      <c r="B33" s="166" t="s">
        <v>104</v>
      </c>
      <c r="C33" s="167">
        <v>53511330</v>
      </c>
      <c r="D33" s="168">
        <f t="shared" si="12"/>
        <v>52822131</v>
      </c>
      <c r="E33" s="169">
        <f t="shared" si="13"/>
        <v>52822131</v>
      </c>
      <c r="F33" s="169">
        <f t="shared" si="14"/>
        <v>42</v>
      </c>
      <c r="G33" s="170"/>
      <c r="H33" s="171">
        <v>42</v>
      </c>
      <c r="I33" s="169">
        <f>52821801+288</f>
        <v>52822089</v>
      </c>
      <c r="J33" s="168"/>
      <c r="K33" s="169"/>
      <c r="L33" s="168"/>
      <c r="M33" s="169"/>
      <c r="N33" s="169">
        <f t="shared" si="8"/>
        <v>0</v>
      </c>
      <c r="O33" s="170"/>
      <c r="P33" s="172"/>
      <c r="Q33" s="172"/>
      <c r="R33" s="171"/>
      <c r="S33" s="164">
        <f t="shared" si="4"/>
        <v>0.98712050326538325</v>
      </c>
    </row>
    <row r="34" spans="1:19" s="2" customFormat="1" ht="13.5" customHeight="1">
      <c r="A34" s="553"/>
      <c r="B34" s="166" t="s">
        <v>105</v>
      </c>
      <c r="C34" s="167">
        <v>140000</v>
      </c>
      <c r="D34" s="168">
        <f t="shared" si="12"/>
        <v>130997</v>
      </c>
      <c r="E34" s="169">
        <f t="shared" si="13"/>
        <v>130997</v>
      </c>
      <c r="F34" s="169">
        <f t="shared" si="14"/>
        <v>130997</v>
      </c>
      <c r="G34" s="170"/>
      <c r="H34" s="171">
        <v>130997</v>
      </c>
      <c r="I34" s="169"/>
      <c r="J34" s="168"/>
      <c r="K34" s="169"/>
      <c r="L34" s="168"/>
      <c r="M34" s="169"/>
      <c r="N34" s="169">
        <f t="shared" si="8"/>
        <v>0</v>
      </c>
      <c r="O34" s="170"/>
      <c r="P34" s="172"/>
      <c r="Q34" s="172"/>
      <c r="R34" s="171"/>
      <c r="S34" s="164">
        <f t="shared" si="4"/>
        <v>0.9356928571428571</v>
      </c>
    </row>
    <row r="35" spans="1:19" s="2" customFormat="1" ht="15" customHeight="1">
      <c r="A35" s="553"/>
      <c r="B35" s="181" t="s">
        <v>109</v>
      </c>
      <c r="C35" s="167">
        <v>269789279</v>
      </c>
      <c r="D35" s="168">
        <f t="shared" si="12"/>
        <v>238154246</v>
      </c>
      <c r="E35" s="169">
        <f>SUM(F35,M35,L35,K35,J35,I35)</f>
        <v>62358305</v>
      </c>
      <c r="F35" s="169">
        <f t="shared" si="14"/>
        <v>61590670</v>
      </c>
      <c r="G35" s="170">
        <f>9848204+626395+1744367+217317+22575</f>
        <v>12458858</v>
      </c>
      <c r="H35" s="171">
        <f>126474+7723799+393474+26385360+16473+12623845+18475+29669+42599+568067+4172+10047+267002+229849+102834+6296+217074+291790+360+17578+56575</f>
        <v>49131812</v>
      </c>
      <c r="I35" s="169"/>
      <c r="J35" s="168">
        <v>130614</v>
      </c>
      <c r="K35" s="169">
        <v>637021</v>
      </c>
      <c r="L35" s="168"/>
      <c r="M35" s="169"/>
      <c r="N35" s="169">
        <f t="shared" si="8"/>
        <v>175795941</v>
      </c>
      <c r="O35" s="170">
        <f>40112514+4578106+13144+131092177</f>
        <v>175795941</v>
      </c>
      <c r="P35" s="172">
        <f>86448254+40965254+277181+275162+2926346+199980+1619356</f>
        <v>132711533</v>
      </c>
      <c r="Q35" s="172"/>
      <c r="R35" s="171"/>
      <c r="S35" s="164">
        <f t="shared" si="4"/>
        <v>0.88274169708574668</v>
      </c>
    </row>
    <row r="36" spans="1:19" s="2" customFormat="1" ht="15" customHeight="1">
      <c r="A36" s="554"/>
      <c r="B36" s="286" t="s">
        <v>374</v>
      </c>
      <c r="C36" s="189">
        <v>758937</v>
      </c>
      <c r="D36" s="168">
        <f t="shared" si="12"/>
        <v>725616</v>
      </c>
      <c r="E36" s="169">
        <f>SUM(F36,M36,L36,K36,J36,I36)</f>
        <v>0</v>
      </c>
      <c r="F36" s="169">
        <f t="shared" si="14"/>
        <v>0</v>
      </c>
      <c r="G36" s="192"/>
      <c r="H36" s="193"/>
      <c r="I36" s="191"/>
      <c r="J36" s="190"/>
      <c r="K36" s="191">
        <v>0</v>
      </c>
      <c r="L36" s="190"/>
      <c r="M36" s="191"/>
      <c r="N36" s="169">
        <f t="shared" si="8"/>
        <v>725616</v>
      </c>
      <c r="O36" s="192">
        <v>725616</v>
      </c>
      <c r="P36" s="194"/>
      <c r="Q36" s="194"/>
      <c r="R36" s="193"/>
      <c r="S36" s="164">
        <f t="shared" si="4"/>
        <v>0.95609516995481836</v>
      </c>
    </row>
    <row r="37" spans="1:19" s="2" customFormat="1" ht="15" customHeight="1">
      <c r="A37" s="554"/>
      <c r="B37" s="188" t="s">
        <v>114</v>
      </c>
      <c r="C37" s="189">
        <v>842040</v>
      </c>
      <c r="D37" s="168">
        <f t="shared" si="12"/>
        <v>842037</v>
      </c>
      <c r="E37" s="169">
        <f>SUM(F37,M37,L37,K37,J37,I37)</f>
        <v>55401</v>
      </c>
      <c r="F37" s="169">
        <f t="shared" si="14"/>
        <v>9120</v>
      </c>
      <c r="G37" s="192"/>
      <c r="H37" s="193">
        <v>9120</v>
      </c>
      <c r="I37" s="191">
        <v>46281</v>
      </c>
      <c r="J37" s="190"/>
      <c r="K37" s="191"/>
      <c r="L37" s="190"/>
      <c r="M37" s="191"/>
      <c r="N37" s="169">
        <f t="shared" si="8"/>
        <v>786636</v>
      </c>
      <c r="O37" s="192">
        <f>750000+36636</f>
        <v>786636</v>
      </c>
      <c r="P37" s="194"/>
      <c r="Q37" s="194"/>
      <c r="R37" s="193"/>
      <c r="S37" s="164">
        <f t="shared" si="4"/>
        <v>0.99999643722388487</v>
      </c>
    </row>
    <row r="38" spans="1:19" s="2" customFormat="1" ht="15" customHeight="1">
      <c r="A38" s="554"/>
      <c r="B38" s="188" t="s">
        <v>116</v>
      </c>
      <c r="C38" s="189">
        <v>3578222</v>
      </c>
      <c r="D38" s="168">
        <f t="shared" si="12"/>
        <v>3212184</v>
      </c>
      <c r="E38" s="169">
        <f>SUM(F38,M38,L38,K38,J38,I38)</f>
        <v>2902241</v>
      </c>
      <c r="F38" s="169">
        <f t="shared" si="14"/>
        <v>1557990</v>
      </c>
      <c r="G38" s="192"/>
      <c r="H38" s="193">
        <v>1557990</v>
      </c>
      <c r="I38" s="191">
        <v>250000</v>
      </c>
      <c r="J38" s="190"/>
      <c r="K38" s="191">
        <v>1094251</v>
      </c>
      <c r="L38" s="190"/>
      <c r="M38" s="191"/>
      <c r="N38" s="169">
        <f t="shared" si="8"/>
        <v>309943</v>
      </c>
      <c r="O38" s="192">
        <v>309943</v>
      </c>
      <c r="P38" s="194"/>
      <c r="Q38" s="194"/>
      <c r="R38" s="193"/>
      <c r="S38" s="164">
        <f t="shared" si="4"/>
        <v>0.89770394346689497</v>
      </c>
    </row>
    <row r="39" spans="1:19" s="2" customFormat="1" ht="13.5" thickBot="1">
      <c r="A39" s="554"/>
      <c r="B39" s="188" t="s">
        <v>118</v>
      </c>
      <c r="C39" s="189">
        <v>3561800</v>
      </c>
      <c r="D39" s="190">
        <f t="shared" si="12"/>
        <v>3561800</v>
      </c>
      <c r="E39" s="191">
        <f t="shared" si="13"/>
        <v>0</v>
      </c>
      <c r="F39" s="191">
        <f t="shared" si="14"/>
        <v>0</v>
      </c>
      <c r="G39" s="192"/>
      <c r="H39" s="193"/>
      <c r="I39" s="191"/>
      <c r="J39" s="190"/>
      <c r="K39" s="191"/>
      <c r="L39" s="190"/>
      <c r="M39" s="191"/>
      <c r="N39" s="191">
        <f>SUM(O39,Q39,R39)</f>
        <v>3561800</v>
      </c>
      <c r="O39" s="192"/>
      <c r="P39" s="194"/>
      <c r="Q39" s="194"/>
      <c r="R39" s="193">
        <v>3561800</v>
      </c>
      <c r="S39" s="173">
        <f t="shared" si="4"/>
        <v>1</v>
      </c>
    </row>
    <row r="40" spans="1:19" s="153" customFormat="1" ht="13.5" thickBot="1">
      <c r="A40" s="145" t="s">
        <v>119</v>
      </c>
      <c r="B40" s="145"/>
      <c r="C40" s="146">
        <f>SUM(C41:C42)</f>
        <v>850000</v>
      </c>
      <c r="D40" s="146">
        <f>SUM(D41:D42)</f>
        <v>831029</v>
      </c>
      <c r="E40" s="146">
        <f t="shared" ref="E40:R40" si="15">SUM(E41:E42)</f>
        <v>749814</v>
      </c>
      <c r="F40" s="146">
        <f t="shared" si="15"/>
        <v>350000</v>
      </c>
      <c r="G40" s="146">
        <f t="shared" si="15"/>
        <v>0</v>
      </c>
      <c r="H40" s="146">
        <f t="shared" si="15"/>
        <v>350000</v>
      </c>
      <c r="I40" s="146">
        <f t="shared" si="15"/>
        <v>399814</v>
      </c>
      <c r="J40" s="146">
        <f t="shared" si="15"/>
        <v>0</v>
      </c>
      <c r="K40" s="146">
        <f t="shared" si="15"/>
        <v>0</v>
      </c>
      <c r="L40" s="146">
        <f t="shared" si="15"/>
        <v>0</v>
      </c>
      <c r="M40" s="146">
        <f t="shared" si="15"/>
        <v>0</v>
      </c>
      <c r="N40" s="146">
        <f>SUM(N41:N42)</f>
        <v>81215</v>
      </c>
      <c r="O40" s="146">
        <f t="shared" si="15"/>
        <v>81215</v>
      </c>
      <c r="P40" s="146">
        <f t="shared" si="15"/>
        <v>81215</v>
      </c>
      <c r="Q40" s="146">
        <f t="shared" si="15"/>
        <v>0</v>
      </c>
      <c r="R40" s="146">
        <f t="shared" si="15"/>
        <v>0</v>
      </c>
      <c r="S40" s="152">
        <f t="shared" si="4"/>
        <v>0.97768117647058828</v>
      </c>
    </row>
    <row r="41" spans="1:19" s="2" customFormat="1">
      <c r="A41" s="555"/>
      <c r="B41" s="174" t="s">
        <v>291</v>
      </c>
      <c r="C41" s="175">
        <v>750000</v>
      </c>
      <c r="D41" s="176">
        <f>SUM(E41,N41)</f>
        <v>749814</v>
      </c>
      <c r="E41" s="177">
        <f>SUM(F41,M41,L41,K41,J41,I41)</f>
        <v>749814</v>
      </c>
      <c r="F41" s="177">
        <f>SUM(G41:H41)</f>
        <v>350000</v>
      </c>
      <c r="G41" s="178"/>
      <c r="H41" s="179">
        <v>350000</v>
      </c>
      <c r="I41" s="177">
        <v>399814</v>
      </c>
      <c r="J41" s="176"/>
      <c r="K41" s="177"/>
      <c r="L41" s="176"/>
      <c r="M41" s="177"/>
      <c r="N41" s="177">
        <f t="shared" si="8"/>
        <v>0</v>
      </c>
      <c r="O41" s="178"/>
      <c r="P41" s="180"/>
      <c r="Q41" s="180"/>
      <c r="R41" s="179"/>
      <c r="S41" s="164">
        <f t="shared" si="4"/>
        <v>0.99975199999999997</v>
      </c>
    </row>
    <row r="42" spans="1:19" s="2" customFormat="1" ht="13.5" thickBot="1">
      <c r="A42" s="556"/>
      <c r="B42" s="202" t="s">
        <v>121</v>
      </c>
      <c r="C42" s="203">
        <v>100000</v>
      </c>
      <c r="D42" s="204">
        <f>SUM(E42,N42)</f>
        <v>81215</v>
      </c>
      <c r="E42" s="204">
        <f>SUM(F42,M42,L42,K42,J42,I42)</f>
        <v>0</v>
      </c>
      <c r="F42" s="204">
        <f>SUM(G42:H42)</f>
        <v>0</v>
      </c>
      <c r="G42" s="205"/>
      <c r="H42" s="206"/>
      <c r="I42" s="204"/>
      <c r="J42" s="207"/>
      <c r="K42" s="204"/>
      <c r="L42" s="207"/>
      <c r="M42" s="204"/>
      <c r="N42" s="204">
        <f t="shared" si="8"/>
        <v>81215</v>
      </c>
      <c r="O42" s="205">
        <v>81215</v>
      </c>
      <c r="P42" s="208">
        <v>81215</v>
      </c>
      <c r="Q42" s="208"/>
      <c r="R42" s="206"/>
      <c r="S42" s="173">
        <f t="shared" si="4"/>
        <v>0.81215000000000004</v>
      </c>
    </row>
    <row r="43" spans="1:19" s="153" customFormat="1" ht="13.5" thickBot="1">
      <c r="A43" s="145" t="s">
        <v>123</v>
      </c>
      <c r="B43" s="145"/>
      <c r="C43" s="146">
        <f>SUM(C44)</f>
        <v>778393</v>
      </c>
      <c r="D43" s="147">
        <f>SUM(D44)</f>
        <v>528312</v>
      </c>
      <c r="E43" s="148">
        <f t="shared" ref="E43:R43" si="16">SUM(E44)</f>
        <v>486097</v>
      </c>
      <c r="F43" s="148">
        <f t="shared" si="16"/>
        <v>486097</v>
      </c>
      <c r="G43" s="149">
        <f t="shared" si="16"/>
        <v>5000</v>
      </c>
      <c r="H43" s="150">
        <f t="shared" si="16"/>
        <v>481097</v>
      </c>
      <c r="I43" s="148">
        <f t="shared" si="16"/>
        <v>0</v>
      </c>
      <c r="J43" s="147">
        <f t="shared" si="16"/>
        <v>0</v>
      </c>
      <c r="K43" s="148">
        <f t="shared" si="16"/>
        <v>0</v>
      </c>
      <c r="L43" s="147">
        <f t="shared" si="16"/>
        <v>0</v>
      </c>
      <c r="M43" s="148">
        <f t="shared" si="16"/>
        <v>0</v>
      </c>
      <c r="N43" s="148">
        <f t="shared" si="16"/>
        <v>42215</v>
      </c>
      <c r="O43" s="149">
        <f t="shared" si="16"/>
        <v>42215</v>
      </c>
      <c r="P43" s="151">
        <f t="shared" si="16"/>
        <v>0</v>
      </c>
      <c r="Q43" s="151">
        <f t="shared" si="16"/>
        <v>0</v>
      </c>
      <c r="R43" s="150">
        <f t="shared" si="16"/>
        <v>0</v>
      </c>
      <c r="S43" s="152">
        <f t="shared" si="4"/>
        <v>0.67872141707338063</v>
      </c>
    </row>
    <row r="44" spans="1:19" s="280" customFormat="1" ht="13.5" thickBot="1">
      <c r="A44" s="272"/>
      <c r="B44" s="272" t="s">
        <v>125</v>
      </c>
      <c r="C44" s="273">
        <v>778393</v>
      </c>
      <c r="D44" s="274">
        <f>SUM(E44,N44)</f>
        <v>528312</v>
      </c>
      <c r="E44" s="275">
        <f>SUM(F44,M44,L44,K44,J44,I44)</f>
        <v>486097</v>
      </c>
      <c r="F44" s="275">
        <f>SUM(G44:H44)</f>
        <v>486097</v>
      </c>
      <c r="G44" s="276">
        <v>5000</v>
      </c>
      <c r="H44" s="277">
        <f>100+444323+30076+1039+1284+4275</f>
        <v>481097</v>
      </c>
      <c r="I44" s="275"/>
      <c r="J44" s="274"/>
      <c r="K44" s="275"/>
      <c r="L44" s="274"/>
      <c r="M44" s="275"/>
      <c r="N44" s="275">
        <f>SUM(O44,Q44,R44)</f>
        <v>42215</v>
      </c>
      <c r="O44" s="276">
        <v>42215</v>
      </c>
      <c r="P44" s="278"/>
      <c r="Q44" s="278"/>
      <c r="R44" s="277"/>
      <c r="S44" s="279">
        <f t="shared" si="4"/>
        <v>0.67872141707338063</v>
      </c>
    </row>
    <row r="45" spans="1:19" s="153" customFormat="1" ht="13.5" thickBot="1">
      <c r="A45" s="145" t="s">
        <v>136</v>
      </c>
      <c r="B45" s="145"/>
      <c r="C45" s="146">
        <f>SUM(C46:C51)</f>
        <v>5866759</v>
      </c>
      <c r="D45" s="147">
        <f>SUM(D46:D51)</f>
        <v>5693195</v>
      </c>
      <c r="E45" s="148">
        <f t="shared" ref="E45:R45" si="17">SUM(E46:E51)</f>
        <v>5155575</v>
      </c>
      <c r="F45" s="148">
        <f>SUM(F46:F51)</f>
        <v>4755740</v>
      </c>
      <c r="G45" s="149">
        <f>SUM(G46:G51)</f>
        <v>3581796</v>
      </c>
      <c r="H45" s="150">
        <f>SUM(H46:H51)</f>
        <v>1173944</v>
      </c>
      <c r="I45" s="148">
        <f t="shared" si="17"/>
        <v>0</v>
      </c>
      <c r="J45" s="147">
        <f t="shared" si="17"/>
        <v>8077</v>
      </c>
      <c r="K45" s="148">
        <f t="shared" si="17"/>
        <v>391758</v>
      </c>
      <c r="L45" s="147">
        <f t="shared" si="17"/>
        <v>0</v>
      </c>
      <c r="M45" s="148">
        <f t="shared" si="17"/>
        <v>0</v>
      </c>
      <c r="N45" s="148">
        <f t="shared" si="17"/>
        <v>537620</v>
      </c>
      <c r="O45" s="149">
        <f>SUM(O46:O51)</f>
        <v>537620</v>
      </c>
      <c r="P45" s="151">
        <f t="shared" si="17"/>
        <v>0</v>
      </c>
      <c r="Q45" s="151">
        <f t="shared" si="17"/>
        <v>0</v>
      </c>
      <c r="R45" s="150">
        <f t="shared" si="17"/>
        <v>0</v>
      </c>
      <c r="S45" s="152">
        <f t="shared" si="4"/>
        <v>0.97041569288937901</v>
      </c>
    </row>
    <row r="46" spans="1:19" s="2" customFormat="1">
      <c r="A46" s="531"/>
      <c r="B46" s="195" t="s">
        <v>138</v>
      </c>
      <c r="C46" s="196">
        <v>3910000</v>
      </c>
      <c r="D46" s="156">
        <f t="shared" ref="D46:D55" si="18">SUM(E46,N46)</f>
        <v>3804725</v>
      </c>
      <c r="E46" s="157">
        <f t="shared" ref="E46:E51" si="19">SUM(F46,M46,L46,K46,J46,I46)</f>
        <v>3754770</v>
      </c>
      <c r="F46" s="157">
        <f t="shared" ref="F46:F51" si="20">SUM(G46:H46)</f>
        <v>3747557</v>
      </c>
      <c r="G46" s="197">
        <f>2464031+194985+429718+40609+33905</f>
        <v>3163248</v>
      </c>
      <c r="H46" s="198">
        <f>134764+2947+84625+39770+3115+94424+7320+1718+14001+90761+5378+1316+6247+75277+6358+11040+5248</f>
        <v>584309</v>
      </c>
      <c r="I46" s="157"/>
      <c r="J46" s="156">
        <v>7213</v>
      </c>
      <c r="K46" s="157"/>
      <c r="L46" s="156"/>
      <c r="M46" s="157"/>
      <c r="N46" s="157">
        <f t="shared" ref="N46:N51" si="21">SUM(O46,Q46,R46)</f>
        <v>49955</v>
      </c>
      <c r="O46" s="197">
        <v>49955</v>
      </c>
      <c r="P46" s="199"/>
      <c r="Q46" s="199"/>
      <c r="R46" s="198"/>
      <c r="S46" s="164">
        <f t="shared" si="4"/>
        <v>0.97307544757033249</v>
      </c>
    </row>
    <row r="47" spans="1:19" s="2" customFormat="1">
      <c r="A47" s="531"/>
      <c r="B47" s="166" t="s">
        <v>141</v>
      </c>
      <c r="C47" s="167">
        <v>7000</v>
      </c>
      <c r="D47" s="168">
        <f t="shared" si="18"/>
        <v>6150</v>
      </c>
      <c r="E47" s="169">
        <f t="shared" si="19"/>
        <v>6150</v>
      </c>
      <c r="F47" s="169">
        <f t="shared" si="20"/>
        <v>6150</v>
      </c>
      <c r="G47" s="170"/>
      <c r="H47" s="171">
        <v>6150</v>
      </c>
      <c r="I47" s="169"/>
      <c r="J47" s="168"/>
      <c r="K47" s="169"/>
      <c r="L47" s="168"/>
      <c r="M47" s="169"/>
      <c r="N47" s="157">
        <f t="shared" si="21"/>
        <v>0</v>
      </c>
      <c r="O47" s="170"/>
      <c r="P47" s="172"/>
      <c r="Q47" s="172"/>
      <c r="R47" s="171"/>
      <c r="S47" s="164">
        <f t="shared" si="4"/>
        <v>0.87857142857142856</v>
      </c>
    </row>
    <row r="48" spans="1:19" s="2" customFormat="1">
      <c r="A48" s="531"/>
      <c r="B48" s="166" t="s">
        <v>143</v>
      </c>
      <c r="C48" s="167">
        <v>875000</v>
      </c>
      <c r="D48" s="168">
        <f t="shared" si="18"/>
        <v>807588</v>
      </c>
      <c r="E48" s="169">
        <f t="shared" si="19"/>
        <v>619922</v>
      </c>
      <c r="F48" s="169">
        <f t="shared" si="20"/>
        <v>619058</v>
      </c>
      <c r="G48" s="170">
        <f>302714+26990+58509+6090+3200</f>
        <v>397503</v>
      </c>
      <c r="H48" s="171">
        <f>28984+17170+2524+270+95621+2200+1312+32296+3220+6199+23957+7802</f>
        <v>221555</v>
      </c>
      <c r="I48" s="169"/>
      <c r="J48" s="168">
        <v>864</v>
      </c>
      <c r="K48" s="169"/>
      <c r="L48" s="168"/>
      <c r="M48" s="169"/>
      <c r="N48" s="169">
        <f t="shared" si="21"/>
        <v>187666</v>
      </c>
      <c r="O48" s="170">
        <v>187666</v>
      </c>
      <c r="P48" s="172"/>
      <c r="Q48" s="172"/>
      <c r="R48" s="171"/>
      <c r="S48" s="164">
        <f t="shared" si="4"/>
        <v>0.92295771428571427</v>
      </c>
    </row>
    <row r="49" spans="1:19" s="2" customFormat="1">
      <c r="A49" s="531"/>
      <c r="B49" s="166" t="s">
        <v>145</v>
      </c>
      <c r="C49" s="167">
        <v>183000</v>
      </c>
      <c r="D49" s="168">
        <f>SUM(E49,N49)</f>
        <v>182975</v>
      </c>
      <c r="E49" s="169">
        <f t="shared" si="19"/>
        <v>182975</v>
      </c>
      <c r="F49" s="169">
        <f t="shared" si="20"/>
        <v>182975</v>
      </c>
      <c r="G49" s="170">
        <f>17590+3024+431</f>
        <v>21045</v>
      </c>
      <c r="H49" s="171">
        <f>5955+155975</f>
        <v>161930</v>
      </c>
      <c r="I49" s="169"/>
      <c r="J49" s="168"/>
      <c r="K49" s="169"/>
      <c r="L49" s="168"/>
      <c r="M49" s="169"/>
      <c r="N49" s="169">
        <f t="shared" si="21"/>
        <v>0</v>
      </c>
      <c r="O49" s="170"/>
      <c r="P49" s="172"/>
      <c r="Q49" s="172"/>
      <c r="R49" s="171"/>
      <c r="S49" s="164">
        <f t="shared" si="4"/>
        <v>0.99986338797814212</v>
      </c>
    </row>
    <row r="50" spans="1:19" s="2" customFormat="1">
      <c r="A50" s="531"/>
      <c r="B50" s="188" t="s">
        <v>147</v>
      </c>
      <c r="C50" s="189">
        <v>391759</v>
      </c>
      <c r="D50" s="168">
        <f>SUM(E50,N50)</f>
        <v>391758</v>
      </c>
      <c r="E50" s="169">
        <f t="shared" si="19"/>
        <v>391758</v>
      </c>
      <c r="F50" s="169">
        <f t="shared" si="20"/>
        <v>0</v>
      </c>
      <c r="G50" s="192"/>
      <c r="H50" s="193"/>
      <c r="I50" s="191"/>
      <c r="J50" s="190"/>
      <c r="K50" s="191">
        <v>391758</v>
      </c>
      <c r="L50" s="190"/>
      <c r="M50" s="191"/>
      <c r="N50" s="169">
        <f t="shared" si="21"/>
        <v>0</v>
      </c>
      <c r="O50" s="192"/>
      <c r="P50" s="194"/>
      <c r="Q50" s="194"/>
      <c r="R50" s="193"/>
      <c r="S50" s="164">
        <f t="shared" si="4"/>
        <v>0.99999744741027008</v>
      </c>
    </row>
    <row r="51" spans="1:19" s="2" customFormat="1" ht="13.5" thickBot="1">
      <c r="A51" s="531"/>
      <c r="B51" s="188" t="s">
        <v>148</v>
      </c>
      <c r="C51" s="189">
        <v>500000</v>
      </c>
      <c r="D51" s="190">
        <f t="shared" si="18"/>
        <v>499999</v>
      </c>
      <c r="E51" s="191">
        <f t="shared" si="19"/>
        <v>200000</v>
      </c>
      <c r="F51" s="191">
        <f t="shared" si="20"/>
        <v>200000</v>
      </c>
      <c r="G51" s="192"/>
      <c r="H51" s="193">
        <v>200000</v>
      </c>
      <c r="I51" s="191"/>
      <c r="J51" s="190"/>
      <c r="K51" s="191"/>
      <c r="L51" s="190"/>
      <c r="M51" s="191"/>
      <c r="N51" s="191">
        <f t="shared" si="21"/>
        <v>299999</v>
      </c>
      <c r="O51" s="192">
        <v>299999</v>
      </c>
      <c r="P51" s="194"/>
      <c r="Q51" s="194"/>
      <c r="R51" s="193"/>
      <c r="S51" s="173">
        <f t="shared" si="4"/>
        <v>0.99999800000000005</v>
      </c>
    </row>
    <row r="52" spans="1:19" s="153" customFormat="1" ht="13.5" thickBot="1">
      <c r="A52" s="145" t="s">
        <v>149</v>
      </c>
      <c r="B52" s="145"/>
      <c r="C52" s="146">
        <f>SUM(C53)</f>
        <v>7066454</v>
      </c>
      <c r="D52" s="147">
        <f>SUM(D53)</f>
        <v>821068</v>
      </c>
      <c r="E52" s="148">
        <f t="shared" ref="E52:R52" si="22">SUM(E53)</f>
        <v>7076</v>
      </c>
      <c r="F52" s="148">
        <f>SUM(F53)</f>
        <v>7076</v>
      </c>
      <c r="G52" s="149">
        <f t="shared" si="22"/>
        <v>0</v>
      </c>
      <c r="H52" s="150">
        <f t="shared" si="22"/>
        <v>7076</v>
      </c>
      <c r="I52" s="148">
        <f t="shared" si="22"/>
        <v>0</v>
      </c>
      <c r="J52" s="147">
        <f t="shared" si="22"/>
        <v>0</v>
      </c>
      <c r="K52" s="148">
        <f t="shared" si="22"/>
        <v>0</v>
      </c>
      <c r="L52" s="147">
        <f t="shared" si="22"/>
        <v>0</v>
      </c>
      <c r="M52" s="148">
        <f t="shared" si="22"/>
        <v>0</v>
      </c>
      <c r="N52" s="148">
        <f>SUM(N53)</f>
        <v>813992</v>
      </c>
      <c r="O52" s="149">
        <f>SUM(O53)</f>
        <v>813992</v>
      </c>
      <c r="P52" s="151">
        <f t="shared" si="22"/>
        <v>800669</v>
      </c>
      <c r="Q52" s="151">
        <f t="shared" si="22"/>
        <v>0</v>
      </c>
      <c r="R52" s="150">
        <f t="shared" si="22"/>
        <v>0</v>
      </c>
      <c r="S52" s="152">
        <f t="shared" si="4"/>
        <v>0.11619236465701185</v>
      </c>
    </row>
    <row r="53" spans="1:19" s="2" customFormat="1" ht="13.5" thickBot="1">
      <c r="A53" s="174"/>
      <c r="B53" s="174" t="s">
        <v>151</v>
      </c>
      <c r="C53" s="175">
        <v>7066454</v>
      </c>
      <c r="D53" s="176">
        <f>SUM(E53,N53)</f>
        <v>821068</v>
      </c>
      <c r="E53" s="177">
        <f>SUM(F53,M53,L53,K53,J53,I53)</f>
        <v>7076</v>
      </c>
      <c r="F53" s="177">
        <f>SUM(G53:H53)</f>
        <v>7076</v>
      </c>
      <c r="G53" s="178"/>
      <c r="H53" s="179">
        <f>1827+5249</f>
        <v>7076</v>
      </c>
      <c r="I53" s="177"/>
      <c r="J53" s="176"/>
      <c r="K53" s="177"/>
      <c r="L53" s="176"/>
      <c r="M53" s="177"/>
      <c r="N53" s="177">
        <f>SUM(O53,Q53,R53)</f>
        <v>813992</v>
      </c>
      <c r="O53" s="178">
        <f>59982+754010</f>
        <v>813992</v>
      </c>
      <c r="P53" s="180">
        <v>800669</v>
      </c>
      <c r="Q53" s="180"/>
      <c r="R53" s="179"/>
      <c r="S53" s="173">
        <f t="shared" si="4"/>
        <v>0.11619236465701185</v>
      </c>
    </row>
    <row r="54" spans="1:19" s="153" customFormat="1" ht="13.5" thickBot="1">
      <c r="A54" s="145" t="s">
        <v>292</v>
      </c>
      <c r="B54" s="145"/>
      <c r="C54" s="146">
        <f>SUM(C55)</f>
        <v>9233463</v>
      </c>
      <c r="D54" s="147">
        <f>SUM(D55)</f>
        <v>4507358</v>
      </c>
      <c r="E54" s="148">
        <f>SUM(E55)</f>
        <v>4292018</v>
      </c>
      <c r="F54" s="148">
        <f>SUM(F55)</f>
        <v>0</v>
      </c>
      <c r="G54" s="149">
        <f t="shared" ref="G54:R54" si="23">SUM(G55)</f>
        <v>0</v>
      </c>
      <c r="H54" s="150">
        <f t="shared" si="23"/>
        <v>0</v>
      </c>
      <c r="I54" s="148">
        <f t="shared" si="23"/>
        <v>0</v>
      </c>
      <c r="J54" s="147">
        <f t="shared" si="23"/>
        <v>0</v>
      </c>
      <c r="K54" s="148">
        <f t="shared" si="23"/>
        <v>4292018</v>
      </c>
      <c r="L54" s="147">
        <f t="shared" si="23"/>
        <v>0</v>
      </c>
      <c r="M54" s="148">
        <f t="shared" si="23"/>
        <v>0</v>
      </c>
      <c r="N54" s="148">
        <f t="shared" si="23"/>
        <v>215340</v>
      </c>
      <c r="O54" s="149">
        <f t="shared" si="23"/>
        <v>215340</v>
      </c>
      <c r="P54" s="151">
        <f t="shared" si="23"/>
        <v>215340</v>
      </c>
      <c r="Q54" s="151">
        <f t="shared" si="23"/>
        <v>0</v>
      </c>
      <c r="R54" s="150">
        <f t="shared" si="23"/>
        <v>0</v>
      </c>
      <c r="S54" s="152">
        <f t="shared" si="4"/>
        <v>0.48815466093273996</v>
      </c>
    </row>
    <row r="55" spans="1:19" s="2" customFormat="1" ht="13.5" thickBot="1">
      <c r="A55" s="174"/>
      <c r="B55" s="174" t="s">
        <v>293</v>
      </c>
      <c r="C55" s="175">
        <v>9233463</v>
      </c>
      <c r="D55" s="176">
        <f t="shared" si="18"/>
        <v>4507358</v>
      </c>
      <c r="E55" s="177">
        <f>SUM(F55,M55,L55,K55,J55,I55)</f>
        <v>4292018</v>
      </c>
      <c r="F55" s="177">
        <f>SUM(G55:H55)</f>
        <v>0</v>
      </c>
      <c r="G55" s="178"/>
      <c r="H55" s="179"/>
      <c r="I55" s="177"/>
      <c r="J55" s="176"/>
      <c r="K55" s="177">
        <f>2608213+460273+310516+54796+22493+3969+55600+9812+5697+1005+27840+4913+852+150+419073+73954+604+107+324+57+6787+1198+165532+29212+7245+1279+17439+3078</f>
        <v>4292018</v>
      </c>
      <c r="L55" s="176"/>
      <c r="M55" s="177"/>
      <c r="N55" s="177">
        <f>SUM(O55,Q55,R55)</f>
        <v>215340</v>
      </c>
      <c r="O55" s="178">
        <v>215340</v>
      </c>
      <c r="P55" s="180">
        <f>183039+32301</f>
        <v>215340</v>
      </c>
      <c r="Q55" s="180"/>
      <c r="R55" s="179"/>
      <c r="S55" s="173">
        <f t="shared" si="4"/>
        <v>0.48815466093273996</v>
      </c>
    </row>
    <row r="56" spans="1:19" s="153" customFormat="1" ht="13.5" thickBot="1">
      <c r="A56" s="145" t="s">
        <v>155</v>
      </c>
      <c r="B56" s="145"/>
      <c r="C56" s="146">
        <f>SUM(C57:C63)</f>
        <v>98464295</v>
      </c>
      <c r="D56" s="147">
        <f t="shared" ref="D56:R56" si="24">SUM(D57,D58,D59,D60,D61,D62,D63)</f>
        <v>91212474</v>
      </c>
      <c r="E56" s="148">
        <f t="shared" si="24"/>
        <v>79904910</v>
      </c>
      <c r="F56" s="148">
        <f t="shared" si="24"/>
        <v>57852173</v>
      </c>
      <c r="G56" s="149">
        <f t="shared" si="24"/>
        <v>33292805</v>
      </c>
      <c r="H56" s="150">
        <f t="shared" si="24"/>
        <v>24559368</v>
      </c>
      <c r="I56" s="148">
        <f t="shared" si="24"/>
        <v>418356</v>
      </c>
      <c r="J56" s="147">
        <f t="shared" si="24"/>
        <v>871613</v>
      </c>
      <c r="K56" s="148">
        <f t="shared" si="24"/>
        <v>20762768</v>
      </c>
      <c r="L56" s="147">
        <f t="shared" si="24"/>
        <v>0</v>
      </c>
      <c r="M56" s="148">
        <f t="shared" si="24"/>
        <v>0</v>
      </c>
      <c r="N56" s="148">
        <f t="shared" si="24"/>
        <v>11307564</v>
      </c>
      <c r="O56" s="149">
        <f t="shared" si="24"/>
        <v>6804595</v>
      </c>
      <c r="P56" s="151">
        <f t="shared" si="24"/>
        <v>3438483</v>
      </c>
      <c r="Q56" s="151">
        <f t="shared" si="24"/>
        <v>4502969</v>
      </c>
      <c r="R56" s="150">
        <f t="shared" si="24"/>
        <v>0</v>
      </c>
      <c r="S56" s="152">
        <f t="shared" si="4"/>
        <v>0.92635075485992158</v>
      </c>
    </row>
    <row r="57" spans="1:19" s="2" customFormat="1">
      <c r="A57" s="552"/>
      <c r="B57" s="195" t="s">
        <v>161</v>
      </c>
      <c r="C57" s="196">
        <v>1188367</v>
      </c>
      <c r="D57" s="209">
        <f>SUM(E57,N57)</f>
        <v>1020862</v>
      </c>
      <c r="E57" s="210">
        <f t="shared" ref="E57:E63" si="25">SUM(F57,M57,L57,K57,J57,I57)</f>
        <v>1020862</v>
      </c>
      <c r="F57" s="210">
        <f>SUM(G57:H57)</f>
        <v>1020862</v>
      </c>
      <c r="G57" s="197">
        <f>763798+56008+129646+17507+315</f>
        <v>967274</v>
      </c>
      <c r="H57" s="198">
        <f>16646+11914+2846+467+17503+4212</f>
        <v>53588</v>
      </c>
      <c r="I57" s="157"/>
      <c r="J57" s="156"/>
      <c r="K57" s="157"/>
      <c r="L57" s="156"/>
      <c r="M57" s="157"/>
      <c r="N57" s="210">
        <f t="shared" ref="N57:N127" si="26">SUM(O57,Q57,R57)</f>
        <v>0</v>
      </c>
      <c r="O57" s="197"/>
      <c r="P57" s="199"/>
      <c r="Q57" s="199"/>
      <c r="R57" s="198"/>
      <c r="S57" s="164">
        <f t="shared" si="4"/>
        <v>0.85904606910154857</v>
      </c>
    </row>
    <row r="58" spans="1:19" s="218" customFormat="1">
      <c r="A58" s="553"/>
      <c r="B58" s="211" t="s">
        <v>294</v>
      </c>
      <c r="C58" s="212">
        <v>992000</v>
      </c>
      <c r="D58" s="213">
        <f t="shared" ref="D58:D63" si="27">SUM(E58,N58)</f>
        <v>903012</v>
      </c>
      <c r="E58" s="214">
        <f t="shared" si="25"/>
        <v>903012</v>
      </c>
      <c r="F58" s="214">
        <f>SUM(G58:H58)</f>
        <v>87006</v>
      </c>
      <c r="G58" s="215">
        <v>3400</v>
      </c>
      <c r="H58" s="216">
        <f>44178+27238+12190</f>
        <v>83606</v>
      </c>
      <c r="I58" s="214"/>
      <c r="J58" s="213">
        <v>816006</v>
      </c>
      <c r="K58" s="214"/>
      <c r="L58" s="213"/>
      <c r="M58" s="214"/>
      <c r="N58" s="214">
        <f>SUM(O58,Q58,R58)</f>
        <v>0</v>
      </c>
      <c r="O58" s="215"/>
      <c r="P58" s="217"/>
      <c r="Q58" s="217"/>
      <c r="R58" s="216"/>
      <c r="S58" s="164">
        <f t="shared" si="4"/>
        <v>0.91029435483870969</v>
      </c>
    </row>
    <row r="59" spans="1:19" s="218" customFormat="1" ht="14.25" customHeight="1">
      <c r="A59" s="553"/>
      <c r="B59" s="327" t="s">
        <v>162</v>
      </c>
      <c r="C59" s="212">
        <v>69400438</v>
      </c>
      <c r="D59" s="213">
        <f t="shared" si="27"/>
        <v>64073434</v>
      </c>
      <c r="E59" s="214">
        <f t="shared" si="25"/>
        <v>60472691</v>
      </c>
      <c r="F59" s="214">
        <f>SUM(G59:H59)</f>
        <v>41142869</v>
      </c>
      <c r="G59" s="215">
        <f>25448292+1790274+4336775+518665+17377</f>
        <v>32111383</v>
      </c>
      <c r="H59" s="216">
        <f>515745+2452307+872075+255527+38994+1956534+88647+187581+25056+6936+43413+272563+536280+88502+937054+3550+58935+35975+375084+234123+46605</f>
        <v>9031486</v>
      </c>
      <c r="I59" s="214"/>
      <c r="J59" s="213">
        <v>55607</v>
      </c>
      <c r="K59" s="214">
        <f>1800+10000+11448730+49795+788924+2633+2035884+8836+250265+1031+232450+177749+5593+86523+3346866+59478+1122+198+350+3183+562+350304+16018+2827+107167+2654+32375+236+247057+3605</f>
        <v>19274215</v>
      </c>
      <c r="L59" s="213"/>
      <c r="M59" s="214"/>
      <c r="N59" s="214">
        <f>SUM(O59,Q59,R59)</f>
        <v>3600743</v>
      </c>
      <c r="O59" s="215">
        <f>1955187+946002+699554</f>
        <v>3600743</v>
      </c>
      <c r="P59" s="217">
        <f>499825+199729</f>
        <v>699554</v>
      </c>
      <c r="Q59" s="217"/>
      <c r="R59" s="216"/>
      <c r="S59" s="329">
        <f t="shared" si="4"/>
        <v>0.92324250172599776</v>
      </c>
    </row>
    <row r="60" spans="1:19" s="218" customFormat="1">
      <c r="A60" s="553"/>
      <c r="B60" s="211" t="s">
        <v>295</v>
      </c>
      <c r="C60" s="212">
        <v>49000</v>
      </c>
      <c r="D60" s="168">
        <f>SUM(E60,N60)</f>
        <v>45988</v>
      </c>
      <c r="E60" s="169">
        <f t="shared" si="25"/>
        <v>45988</v>
      </c>
      <c r="F60" s="169">
        <f t="shared" ref="F60:F63" si="28">SUM(G60:H60)</f>
        <v>45988</v>
      </c>
      <c r="G60" s="215">
        <f>765+5+26570</f>
        <v>27340</v>
      </c>
      <c r="H60" s="216">
        <f>6615+12033</f>
        <v>18648</v>
      </c>
      <c r="I60" s="214"/>
      <c r="J60" s="213"/>
      <c r="K60" s="214"/>
      <c r="L60" s="213"/>
      <c r="M60" s="214"/>
      <c r="N60" s="214">
        <f t="shared" si="26"/>
        <v>0</v>
      </c>
      <c r="O60" s="215"/>
      <c r="P60" s="217"/>
      <c r="Q60" s="217"/>
      <c r="R60" s="216"/>
      <c r="S60" s="164">
        <f t="shared" si="4"/>
        <v>0.93853061224489798</v>
      </c>
    </row>
    <row r="61" spans="1:19" s="218" customFormat="1">
      <c r="A61" s="553"/>
      <c r="B61" s="211" t="s">
        <v>296</v>
      </c>
      <c r="C61" s="212">
        <v>348573</v>
      </c>
      <c r="D61" s="168">
        <f t="shared" si="27"/>
        <v>267318</v>
      </c>
      <c r="E61" s="169">
        <f t="shared" si="25"/>
        <v>267318</v>
      </c>
      <c r="F61" s="169">
        <f t="shared" si="28"/>
        <v>0</v>
      </c>
      <c r="G61" s="215"/>
      <c r="H61" s="216"/>
      <c r="I61" s="214"/>
      <c r="J61" s="213"/>
      <c r="K61" s="214">
        <f>126814+22379+7384+1303+22206+3919+2902+512+6050+1068+247+44+35305+6230+426+75+570+101+19552+3450+1080+191+965+170+3719+656</f>
        <v>267318</v>
      </c>
      <c r="L61" s="213"/>
      <c r="M61" s="214"/>
      <c r="N61" s="214">
        <f t="shared" si="26"/>
        <v>0</v>
      </c>
      <c r="O61" s="215"/>
      <c r="P61" s="217"/>
      <c r="Q61" s="217"/>
      <c r="R61" s="216"/>
      <c r="S61" s="164">
        <f t="shared" si="4"/>
        <v>0.76689244433734105</v>
      </c>
    </row>
    <row r="62" spans="1:19" s="218" customFormat="1" ht="14.25" customHeight="1">
      <c r="A62" s="553"/>
      <c r="B62" s="211" t="s">
        <v>297</v>
      </c>
      <c r="C62" s="212">
        <v>14529216</v>
      </c>
      <c r="D62" s="168">
        <f t="shared" si="27"/>
        <v>13657095</v>
      </c>
      <c r="E62" s="169">
        <f t="shared" si="25"/>
        <v>13334066</v>
      </c>
      <c r="F62" s="169">
        <f t="shared" si="28"/>
        <v>12010479</v>
      </c>
      <c r="G62" s="170">
        <v>41908</v>
      </c>
      <c r="H62" s="171">
        <f>728687+11215666+24218</f>
        <v>11968571</v>
      </c>
      <c r="I62" s="169">
        <v>293256</v>
      </c>
      <c r="J62" s="168"/>
      <c r="K62" s="169">
        <f>724067+306264</f>
        <v>1030331</v>
      </c>
      <c r="L62" s="168"/>
      <c r="M62" s="169"/>
      <c r="N62" s="214">
        <f t="shared" si="26"/>
        <v>323029</v>
      </c>
      <c r="O62" s="170">
        <v>323029</v>
      </c>
      <c r="P62" s="172"/>
      <c r="Q62" s="172"/>
      <c r="R62" s="171"/>
      <c r="S62" s="164">
        <f t="shared" si="4"/>
        <v>0.93997466897043858</v>
      </c>
    </row>
    <row r="63" spans="1:19" s="218" customFormat="1" ht="15.75" customHeight="1" thickBot="1">
      <c r="A63" s="553"/>
      <c r="B63" s="211" t="s">
        <v>298</v>
      </c>
      <c r="C63" s="212">
        <v>11956701</v>
      </c>
      <c r="D63" s="168">
        <f t="shared" si="27"/>
        <v>11244765</v>
      </c>
      <c r="E63" s="169">
        <f t="shared" si="25"/>
        <v>3860973</v>
      </c>
      <c r="F63" s="169">
        <f t="shared" si="28"/>
        <v>3544969</v>
      </c>
      <c r="G63" s="170">
        <v>141500</v>
      </c>
      <c r="H63" s="171">
        <v>3403469</v>
      </c>
      <c r="I63" s="169">
        <f>124000+1100</f>
        <v>125100</v>
      </c>
      <c r="J63" s="168">
        <v>0</v>
      </c>
      <c r="K63" s="169">
        <v>190904</v>
      </c>
      <c r="L63" s="168"/>
      <c r="M63" s="169"/>
      <c r="N63" s="214">
        <f t="shared" si="26"/>
        <v>7383792</v>
      </c>
      <c r="O63" s="170">
        <v>2880823</v>
      </c>
      <c r="P63" s="172">
        <v>2738929</v>
      </c>
      <c r="Q63" s="172">
        <v>4502969</v>
      </c>
      <c r="R63" s="171"/>
      <c r="S63" s="173">
        <f t="shared" si="4"/>
        <v>0.94045715452782508</v>
      </c>
    </row>
    <row r="64" spans="1:19" s="219" customFormat="1" ht="15" customHeight="1" thickBot="1">
      <c r="A64" s="145" t="s">
        <v>299</v>
      </c>
      <c r="B64" s="145"/>
      <c r="C64" s="146">
        <f>SUM(C65)</f>
        <v>4000</v>
      </c>
      <c r="D64" s="147">
        <f>SUM(D65)</f>
        <v>4000</v>
      </c>
      <c r="E64" s="148">
        <f t="shared" ref="E64:R64" si="29">SUM(E65)</f>
        <v>4000</v>
      </c>
      <c r="F64" s="148">
        <f t="shared" si="29"/>
        <v>4000</v>
      </c>
      <c r="G64" s="149">
        <f t="shared" si="29"/>
        <v>0</v>
      </c>
      <c r="H64" s="150">
        <f t="shared" si="29"/>
        <v>4000</v>
      </c>
      <c r="I64" s="148">
        <f t="shared" si="29"/>
        <v>0</v>
      </c>
      <c r="J64" s="147">
        <f t="shared" si="29"/>
        <v>0</v>
      </c>
      <c r="K64" s="148">
        <f t="shared" si="29"/>
        <v>0</v>
      </c>
      <c r="L64" s="147">
        <f t="shared" si="29"/>
        <v>0</v>
      </c>
      <c r="M64" s="148">
        <f t="shared" si="29"/>
        <v>0</v>
      </c>
      <c r="N64" s="148">
        <f t="shared" si="29"/>
        <v>0</v>
      </c>
      <c r="O64" s="149">
        <f t="shared" si="29"/>
        <v>0</v>
      </c>
      <c r="P64" s="151">
        <f t="shared" si="29"/>
        <v>0</v>
      </c>
      <c r="Q64" s="151">
        <f t="shared" si="29"/>
        <v>0</v>
      </c>
      <c r="R64" s="150">
        <f t="shared" si="29"/>
        <v>0</v>
      </c>
      <c r="S64" s="152">
        <f t="shared" si="4"/>
        <v>1</v>
      </c>
    </row>
    <row r="65" spans="1:19" s="219" customFormat="1" ht="12.75" customHeight="1" thickBot="1">
      <c r="A65" s="174"/>
      <c r="B65" s="174" t="s">
        <v>300</v>
      </c>
      <c r="C65" s="175">
        <v>4000</v>
      </c>
      <c r="D65" s="176">
        <f>SUM(E65,N65)</f>
        <v>4000</v>
      </c>
      <c r="E65" s="177">
        <f>SUM(F65,M65,L65,K65,J65,I65)</f>
        <v>4000</v>
      </c>
      <c r="F65" s="177">
        <f>SUM(G65:H65)</f>
        <v>4000</v>
      </c>
      <c r="G65" s="178"/>
      <c r="H65" s="179">
        <v>4000</v>
      </c>
      <c r="I65" s="177">
        <v>0</v>
      </c>
      <c r="J65" s="176"/>
      <c r="K65" s="177"/>
      <c r="L65" s="176"/>
      <c r="M65" s="177"/>
      <c r="N65" s="177">
        <f>SUM(O65,Q65,R65)</f>
        <v>0</v>
      </c>
      <c r="O65" s="178"/>
      <c r="P65" s="180"/>
      <c r="Q65" s="180"/>
      <c r="R65" s="179"/>
      <c r="S65" s="173">
        <f t="shared" si="4"/>
        <v>1</v>
      </c>
    </row>
    <row r="66" spans="1:19" s="377" customFormat="1" ht="13.5" thickBot="1">
      <c r="A66" s="145" t="s">
        <v>301</v>
      </c>
      <c r="B66" s="145"/>
      <c r="C66" s="146">
        <f>SUM(C67:C70)</f>
        <v>1501000</v>
      </c>
      <c r="D66" s="147">
        <f>SUM(D67:D70)</f>
        <v>1500258</v>
      </c>
      <c r="E66" s="148">
        <f t="shared" ref="E66:R66" si="30">SUM(E67:E70)</f>
        <v>489914</v>
      </c>
      <c r="F66" s="148">
        <f t="shared" si="30"/>
        <v>0</v>
      </c>
      <c r="G66" s="149">
        <f t="shared" si="30"/>
        <v>0</v>
      </c>
      <c r="H66" s="150">
        <f t="shared" si="30"/>
        <v>0</v>
      </c>
      <c r="I66" s="148">
        <f t="shared" si="30"/>
        <v>489914</v>
      </c>
      <c r="J66" s="147">
        <f t="shared" si="30"/>
        <v>0</v>
      </c>
      <c r="K66" s="148">
        <f t="shared" si="30"/>
        <v>0</v>
      </c>
      <c r="L66" s="147">
        <f t="shared" si="30"/>
        <v>0</v>
      </c>
      <c r="M66" s="148">
        <f t="shared" si="30"/>
        <v>0</v>
      </c>
      <c r="N66" s="148">
        <f t="shared" si="30"/>
        <v>1010344</v>
      </c>
      <c r="O66" s="149">
        <f t="shared" si="30"/>
        <v>1010344</v>
      </c>
      <c r="P66" s="151">
        <f t="shared" si="30"/>
        <v>0</v>
      </c>
      <c r="Q66" s="151">
        <f t="shared" si="30"/>
        <v>0</v>
      </c>
      <c r="R66" s="150">
        <f t="shared" si="30"/>
        <v>0</v>
      </c>
      <c r="S66" s="152">
        <f t="shared" si="4"/>
        <v>0.99950566289140574</v>
      </c>
    </row>
    <row r="67" spans="1:19" s="2" customFormat="1">
      <c r="A67" s="557"/>
      <c r="B67" s="195" t="s">
        <v>302</v>
      </c>
      <c r="C67" s="196">
        <v>1000000</v>
      </c>
      <c r="D67" s="156">
        <f>SUM(E67,N67)</f>
        <v>999884</v>
      </c>
      <c r="E67" s="157">
        <f>SUM(F67,M67,L67,K67,J67,I67)</f>
        <v>153000</v>
      </c>
      <c r="F67" s="157">
        <f>SUM(G67:H67)</f>
        <v>0</v>
      </c>
      <c r="G67" s="197"/>
      <c r="H67" s="198"/>
      <c r="I67" s="157">
        <v>153000</v>
      </c>
      <c r="J67" s="156"/>
      <c r="K67" s="157"/>
      <c r="L67" s="156"/>
      <c r="M67" s="157"/>
      <c r="N67" s="157">
        <f>SUM(O67,Q67,R67)</f>
        <v>846884</v>
      </c>
      <c r="O67" s="197">
        <v>846884</v>
      </c>
      <c r="P67" s="199"/>
      <c r="Q67" s="199"/>
      <c r="R67" s="198"/>
      <c r="S67" s="164">
        <f t="shared" si="4"/>
        <v>0.999884</v>
      </c>
    </row>
    <row r="68" spans="1:19" s="2" customFormat="1">
      <c r="A68" s="557"/>
      <c r="B68" s="289" t="s">
        <v>303</v>
      </c>
      <c r="C68" s="167">
        <v>163000</v>
      </c>
      <c r="D68" s="169">
        <f>SUM(E68,N68)</f>
        <v>162744</v>
      </c>
      <c r="E68" s="169">
        <f>SUM(F68,M68,L68,K68,J68,I68)</f>
        <v>98914</v>
      </c>
      <c r="F68" s="169">
        <f>SUM(G68:H68)</f>
        <v>0</v>
      </c>
      <c r="G68" s="292"/>
      <c r="H68" s="293"/>
      <c r="I68" s="169">
        <v>98914</v>
      </c>
      <c r="J68" s="169"/>
      <c r="K68" s="169"/>
      <c r="L68" s="169"/>
      <c r="M68" s="169"/>
      <c r="N68" s="157">
        <f>SUM(O68,Q68,R68)</f>
        <v>63830</v>
      </c>
      <c r="O68" s="294">
        <v>63830</v>
      </c>
      <c r="P68" s="295"/>
      <c r="Q68" s="295"/>
      <c r="R68" s="291"/>
      <c r="S68" s="164">
        <f t="shared" si="4"/>
        <v>0.99842944785276078</v>
      </c>
    </row>
    <row r="69" spans="1:19" s="2" customFormat="1">
      <c r="A69" s="557"/>
      <c r="B69" s="285" t="s">
        <v>375</v>
      </c>
      <c r="C69" s="175">
        <v>38000</v>
      </c>
      <c r="D69" s="156">
        <f>SUM(E69,N69)</f>
        <v>38000</v>
      </c>
      <c r="E69" s="157">
        <f>SUM(F69,M69,L69,K69,J69,I69)</f>
        <v>38000</v>
      </c>
      <c r="F69" s="157">
        <f>SUM(G69:H69)</f>
        <v>0</v>
      </c>
      <c r="G69" s="178"/>
      <c r="H69" s="179"/>
      <c r="I69" s="177">
        <v>38000</v>
      </c>
      <c r="J69" s="176"/>
      <c r="K69" s="177"/>
      <c r="L69" s="176"/>
      <c r="M69" s="177"/>
      <c r="N69" s="157">
        <f>SUM(O69,Q69,R69)</f>
        <v>0</v>
      </c>
      <c r="O69" s="178"/>
      <c r="P69" s="180"/>
      <c r="Q69" s="180"/>
      <c r="R69" s="179"/>
      <c r="S69" s="164">
        <f t="shared" si="4"/>
        <v>1</v>
      </c>
    </row>
    <row r="70" spans="1:19" s="2" customFormat="1" ht="13.5" thickBot="1">
      <c r="A70" s="557"/>
      <c r="B70" s="188" t="s">
        <v>304</v>
      </c>
      <c r="C70" s="189">
        <v>300000</v>
      </c>
      <c r="D70" s="190">
        <f>SUM(E70,N70)</f>
        <v>299630</v>
      </c>
      <c r="E70" s="191">
        <f>SUM(F70,M70,L70,K70,J70,I70)</f>
        <v>200000</v>
      </c>
      <c r="F70" s="191">
        <f>SUM(G70:H70)</f>
        <v>0</v>
      </c>
      <c r="G70" s="192"/>
      <c r="H70" s="193"/>
      <c r="I70" s="191">
        <v>200000</v>
      </c>
      <c r="J70" s="190"/>
      <c r="K70" s="191"/>
      <c r="L70" s="190"/>
      <c r="M70" s="191"/>
      <c r="N70" s="191">
        <f>SUM(O70,Q70,R70)</f>
        <v>99630</v>
      </c>
      <c r="O70" s="192">
        <v>99630</v>
      </c>
      <c r="P70" s="194"/>
      <c r="Q70" s="194"/>
      <c r="R70" s="193"/>
      <c r="S70" s="173">
        <f t="shared" si="4"/>
        <v>0.99876666666666669</v>
      </c>
    </row>
    <row r="71" spans="1:19" s="153" customFormat="1" ht="13.5" thickBot="1">
      <c r="A71" s="145" t="s">
        <v>305</v>
      </c>
      <c r="B71" s="145"/>
      <c r="C71" s="146">
        <f t="shared" ref="C71:R71" si="31">SUM(C72:C72)</f>
        <v>18217200</v>
      </c>
      <c r="D71" s="147">
        <f t="shared" si="31"/>
        <v>18113694</v>
      </c>
      <c r="E71" s="148">
        <f t="shared" si="31"/>
        <v>18113694</v>
      </c>
      <c r="F71" s="148">
        <f t="shared" si="31"/>
        <v>0</v>
      </c>
      <c r="G71" s="149">
        <f t="shared" si="31"/>
        <v>0</v>
      </c>
      <c r="H71" s="150">
        <f t="shared" si="31"/>
        <v>0</v>
      </c>
      <c r="I71" s="148">
        <f t="shared" si="31"/>
        <v>0</v>
      </c>
      <c r="J71" s="147">
        <f t="shared" si="31"/>
        <v>0</v>
      </c>
      <c r="K71" s="148">
        <f t="shared" si="31"/>
        <v>0</v>
      </c>
      <c r="L71" s="147">
        <f t="shared" si="31"/>
        <v>0</v>
      </c>
      <c r="M71" s="148">
        <f t="shared" si="31"/>
        <v>18113694</v>
      </c>
      <c r="N71" s="148">
        <f t="shared" si="31"/>
        <v>0</v>
      </c>
      <c r="O71" s="149">
        <f t="shared" si="31"/>
        <v>0</v>
      </c>
      <c r="P71" s="151">
        <f t="shared" si="31"/>
        <v>0</v>
      </c>
      <c r="Q71" s="151">
        <f t="shared" si="31"/>
        <v>0</v>
      </c>
      <c r="R71" s="150">
        <f t="shared" si="31"/>
        <v>0</v>
      </c>
      <c r="S71" s="152">
        <f t="shared" si="4"/>
        <v>0.99431822673078185</v>
      </c>
    </row>
    <row r="72" spans="1:19" s="2" customFormat="1" ht="13.5" thickBot="1">
      <c r="A72" s="288"/>
      <c r="B72" s="195" t="s">
        <v>306</v>
      </c>
      <c r="C72" s="196">
        <v>18217200</v>
      </c>
      <c r="D72" s="156">
        <f>SUM(E72,N72)</f>
        <v>18113694</v>
      </c>
      <c r="E72" s="157">
        <f>SUM(F72,M72,L72,K72,J72,I72)</f>
        <v>18113694</v>
      </c>
      <c r="F72" s="157">
        <f>SUM(G72:H72)</f>
        <v>0</v>
      </c>
      <c r="G72" s="197"/>
      <c r="H72" s="198">
        <v>0</v>
      </c>
      <c r="I72" s="157"/>
      <c r="J72" s="156"/>
      <c r="K72" s="157"/>
      <c r="L72" s="156"/>
      <c r="M72" s="157">
        <v>18113694</v>
      </c>
      <c r="N72" s="157">
        <f t="shared" si="26"/>
        <v>0</v>
      </c>
      <c r="O72" s="197"/>
      <c r="P72" s="199"/>
      <c r="Q72" s="199"/>
      <c r="R72" s="198"/>
      <c r="S72" s="164">
        <f t="shared" si="4"/>
        <v>0.99431822673078185</v>
      </c>
    </row>
    <row r="73" spans="1:19" s="153" customFormat="1" ht="13.5" thickBot="1">
      <c r="A73" s="145" t="s">
        <v>307</v>
      </c>
      <c r="B73" s="145"/>
      <c r="C73" s="146">
        <f>SUM(C74)</f>
        <v>2060109</v>
      </c>
      <c r="D73" s="147">
        <f>SUM(D74)</f>
        <v>0</v>
      </c>
      <c r="E73" s="148">
        <f t="shared" ref="E73:R73" si="32">SUM(E74)</f>
        <v>0</v>
      </c>
      <c r="F73" s="148">
        <f t="shared" si="32"/>
        <v>0</v>
      </c>
      <c r="G73" s="149">
        <f t="shared" si="32"/>
        <v>0</v>
      </c>
      <c r="H73" s="150">
        <f>SUM(H74)</f>
        <v>0</v>
      </c>
      <c r="I73" s="148">
        <f t="shared" si="32"/>
        <v>0</v>
      </c>
      <c r="J73" s="147">
        <f t="shared" si="32"/>
        <v>0</v>
      </c>
      <c r="K73" s="148">
        <f>SUM(K74)</f>
        <v>0</v>
      </c>
      <c r="L73" s="147">
        <f t="shared" si="32"/>
        <v>0</v>
      </c>
      <c r="M73" s="148">
        <f t="shared" si="32"/>
        <v>0</v>
      </c>
      <c r="N73" s="148">
        <f>SUM(N74)</f>
        <v>0</v>
      </c>
      <c r="O73" s="149">
        <f t="shared" si="32"/>
        <v>0</v>
      </c>
      <c r="P73" s="151">
        <f t="shared" si="32"/>
        <v>0</v>
      </c>
      <c r="Q73" s="151">
        <f t="shared" si="32"/>
        <v>0</v>
      </c>
      <c r="R73" s="150">
        <f t="shared" si="32"/>
        <v>0</v>
      </c>
      <c r="S73" s="152">
        <f t="shared" si="4"/>
        <v>0</v>
      </c>
    </row>
    <row r="74" spans="1:19" s="2" customFormat="1" ht="12.75" customHeight="1" thickBot="1">
      <c r="A74" s="195"/>
      <c r="B74" s="195" t="s">
        <v>308</v>
      </c>
      <c r="C74" s="196">
        <v>2060109</v>
      </c>
      <c r="D74" s="156">
        <f>SUM(E74,N74)</f>
        <v>0</v>
      </c>
      <c r="E74" s="157">
        <f>SUM(F74,M74,L74,K74,J74,I74)</f>
        <v>0</v>
      </c>
      <c r="F74" s="157">
        <f>SUM(G74:H74)</f>
        <v>0</v>
      </c>
      <c r="G74" s="197"/>
      <c r="H74" s="198">
        <v>0</v>
      </c>
      <c r="I74" s="157"/>
      <c r="J74" s="156"/>
      <c r="K74" s="157">
        <v>0</v>
      </c>
      <c r="L74" s="156"/>
      <c r="M74" s="157"/>
      <c r="N74" s="157">
        <f t="shared" si="26"/>
        <v>0</v>
      </c>
      <c r="O74" s="197"/>
      <c r="P74" s="199"/>
      <c r="Q74" s="199"/>
      <c r="R74" s="198"/>
      <c r="S74" s="173">
        <f t="shared" si="4"/>
        <v>0</v>
      </c>
    </row>
    <row r="75" spans="1:19" s="153" customFormat="1" ht="13.5" thickBot="1">
      <c r="A75" s="145" t="s">
        <v>309</v>
      </c>
      <c r="B75" s="220"/>
      <c r="C75" s="221">
        <f>SUM(C76:C86)</f>
        <v>75092756</v>
      </c>
      <c r="D75" s="147">
        <f t="shared" ref="D75:R75" si="33">SUM(D76:D84,D85:D86)</f>
        <v>69716069</v>
      </c>
      <c r="E75" s="148">
        <f t="shared" si="33"/>
        <v>67834436</v>
      </c>
      <c r="F75" s="148">
        <f t="shared" si="33"/>
        <v>53295292</v>
      </c>
      <c r="G75" s="149">
        <f t="shared" si="33"/>
        <v>45547392</v>
      </c>
      <c r="H75" s="150">
        <f t="shared" si="33"/>
        <v>7747900</v>
      </c>
      <c r="I75" s="148">
        <f t="shared" si="33"/>
        <v>2289358</v>
      </c>
      <c r="J75" s="147">
        <f t="shared" si="33"/>
        <v>970500</v>
      </c>
      <c r="K75" s="148">
        <f t="shared" si="33"/>
        <v>11279286</v>
      </c>
      <c r="L75" s="147">
        <f t="shared" si="33"/>
        <v>0</v>
      </c>
      <c r="M75" s="148">
        <f t="shared" si="33"/>
        <v>0</v>
      </c>
      <c r="N75" s="148">
        <f t="shared" si="33"/>
        <v>1881633</v>
      </c>
      <c r="O75" s="149">
        <f t="shared" si="33"/>
        <v>1881633</v>
      </c>
      <c r="P75" s="151">
        <f t="shared" si="33"/>
        <v>1487836</v>
      </c>
      <c r="Q75" s="151">
        <f t="shared" si="33"/>
        <v>0</v>
      </c>
      <c r="R75" s="150">
        <f t="shared" si="33"/>
        <v>0</v>
      </c>
      <c r="S75" s="152">
        <f t="shared" ref="S75:S139" si="34">D75/C75</f>
        <v>0.92839939181350595</v>
      </c>
    </row>
    <row r="76" spans="1:19" s="218" customFormat="1">
      <c r="A76" s="558"/>
      <c r="B76" s="222">
        <v>80101</v>
      </c>
      <c r="C76" s="223">
        <v>76000</v>
      </c>
      <c r="D76" s="209">
        <f t="shared" ref="D76:D86" si="35">SUM(E76,N76)</f>
        <v>76000</v>
      </c>
      <c r="E76" s="210">
        <f t="shared" ref="E76:E86" si="36">SUM(F76,M76,L76,K76,J76,I76)</f>
        <v>76000</v>
      </c>
      <c r="F76" s="210">
        <f t="shared" ref="F76:F86" si="37">SUM(G76:H76)</f>
        <v>0</v>
      </c>
      <c r="G76" s="224"/>
      <c r="H76" s="225"/>
      <c r="I76" s="210">
        <v>76000</v>
      </c>
      <c r="J76" s="209"/>
      <c r="K76" s="210"/>
      <c r="L76" s="209"/>
      <c r="M76" s="210"/>
      <c r="N76" s="210">
        <f t="shared" si="26"/>
        <v>0</v>
      </c>
      <c r="O76" s="224"/>
      <c r="P76" s="226"/>
      <c r="Q76" s="226"/>
      <c r="R76" s="225"/>
      <c r="S76" s="164">
        <f t="shared" si="34"/>
        <v>1</v>
      </c>
    </row>
    <row r="77" spans="1:19" s="218" customFormat="1">
      <c r="A77" s="558"/>
      <c r="B77" s="222">
        <v>80102</v>
      </c>
      <c r="C77" s="223">
        <v>4734389</v>
      </c>
      <c r="D77" s="209">
        <f t="shared" si="35"/>
        <v>4733030</v>
      </c>
      <c r="E77" s="210">
        <f t="shared" si="36"/>
        <v>4733030</v>
      </c>
      <c r="F77" s="210">
        <f t="shared" si="37"/>
        <v>4586023</v>
      </c>
      <c r="G77" s="224">
        <f>3366719+205428+632010+82334</f>
        <v>4286491</v>
      </c>
      <c r="H77" s="287">
        <f>12343+6120+171+4130+79265+3940+1652+2620+4068+184852+371</f>
        <v>299532</v>
      </c>
      <c r="I77" s="210"/>
      <c r="J77" s="209">
        <v>147007</v>
      </c>
      <c r="K77" s="210"/>
      <c r="L77" s="209"/>
      <c r="M77" s="210"/>
      <c r="N77" s="210">
        <f t="shared" si="26"/>
        <v>0</v>
      </c>
      <c r="O77" s="224"/>
      <c r="P77" s="226"/>
      <c r="Q77" s="226"/>
      <c r="R77" s="287"/>
      <c r="S77" s="164">
        <f t="shared" si="34"/>
        <v>0.99971295134387983</v>
      </c>
    </row>
    <row r="78" spans="1:19" s="218" customFormat="1">
      <c r="A78" s="558"/>
      <c r="B78" s="222">
        <v>80110</v>
      </c>
      <c r="C78" s="223">
        <v>56000</v>
      </c>
      <c r="D78" s="209">
        <f t="shared" si="35"/>
        <v>56000</v>
      </c>
      <c r="E78" s="210">
        <f t="shared" si="36"/>
        <v>56000</v>
      </c>
      <c r="F78" s="210">
        <f t="shared" si="37"/>
        <v>0</v>
      </c>
      <c r="G78" s="224"/>
      <c r="H78" s="287"/>
      <c r="I78" s="210">
        <v>56000</v>
      </c>
      <c r="J78" s="209"/>
      <c r="K78" s="210"/>
      <c r="L78" s="209"/>
      <c r="M78" s="210"/>
      <c r="N78" s="210">
        <f t="shared" si="26"/>
        <v>0</v>
      </c>
      <c r="O78" s="224"/>
      <c r="P78" s="226"/>
      <c r="Q78" s="226"/>
      <c r="R78" s="287"/>
      <c r="S78" s="164">
        <f t="shared" si="34"/>
        <v>1</v>
      </c>
    </row>
    <row r="79" spans="1:19" s="218" customFormat="1">
      <c r="A79" s="559"/>
      <c r="B79" s="227">
        <v>80111</v>
      </c>
      <c r="C79" s="228">
        <v>1737516</v>
      </c>
      <c r="D79" s="213">
        <f t="shared" si="35"/>
        <v>1734832</v>
      </c>
      <c r="E79" s="214">
        <f t="shared" si="36"/>
        <v>1734832</v>
      </c>
      <c r="F79" s="214">
        <f t="shared" si="37"/>
        <v>1704019</v>
      </c>
      <c r="G79" s="215">
        <f>1291686+79185+222097+30877</f>
        <v>1623845</v>
      </c>
      <c r="H79" s="216">
        <f>3950+1750+74474</f>
        <v>80174</v>
      </c>
      <c r="I79" s="214"/>
      <c r="J79" s="213">
        <v>30813</v>
      </c>
      <c r="K79" s="214"/>
      <c r="L79" s="213"/>
      <c r="M79" s="214"/>
      <c r="N79" s="214">
        <v>0</v>
      </c>
      <c r="O79" s="215"/>
      <c r="P79" s="217"/>
      <c r="Q79" s="217"/>
      <c r="R79" s="216"/>
      <c r="S79" s="164">
        <f t="shared" si="34"/>
        <v>0.99845526602344958</v>
      </c>
    </row>
    <row r="80" spans="1:19" s="218" customFormat="1">
      <c r="A80" s="559"/>
      <c r="B80" s="227">
        <v>80120</v>
      </c>
      <c r="C80" s="228">
        <v>44500</v>
      </c>
      <c r="D80" s="213">
        <f t="shared" si="35"/>
        <v>44500</v>
      </c>
      <c r="E80" s="214">
        <f t="shared" si="36"/>
        <v>44500</v>
      </c>
      <c r="F80" s="214">
        <f t="shared" si="37"/>
        <v>0</v>
      </c>
      <c r="G80" s="215"/>
      <c r="H80" s="216"/>
      <c r="I80" s="214">
        <v>44500</v>
      </c>
      <c r="J80" s="213"/>
      <c r="K80" s="214"/>
      <c r="L80" s="213"/>
      <c r="M80" s="214"/>
      <c r="N80" s="214">
        <v>0</v>
      </c>
      <c r="O80" s="215"/>
      <c r="P80" s="217"/>
      <c r="Q80" s="217"/>
      <c r="R80" s="216"/>
      <c r="S80" s="164">
        <f t="shared" si="34"/>
        <v>1</v>
      </c>
    </row>
    <row r="81" spans="1:19" s="218" customFormat="1">
      <c r="A81" s="559"/>
      <c r="B81" s="227">
        <v>80121</v>
      </c>
      <c r="C81" s="228">
        <v>446678</v>
      </c>
      <c r="D81" s="213">
        <f t="shared" si="35"/>
        <v>446676</v>
      </c>
      <c r="E81" s="214">
        <f t="shared" si="36"/>
        <v>446676</v>
      </c>
      <c r="F81" s="214">
        <f t="shared" si="37"/>
        <v>446676</v>
      </c>
      <c r="G81" s="215">
        <f>339341+15437+52689+6908</f>
        <v>414375</v>
      </c>
      <c r="H81" s="216">
        <f>8100+2400+21801</f>
        <v>32301</v>
      </c>
      <c r="I81" s="214"/>
      <c r="J81" s="213"/>
      <c r="K81" s="214"/>
      <c r="L81" s="213"/>
      <c r="M81" s="214"/>
      <c r="N81" s="214">
        <f t="shared" si="26"/>
        <v>0</v>
      </c>
      <c r="O81" s="215"/>
      <c r="P81" s="217"/>
      <c r="Q81" s="217"/>
      <c r="R81" s="216"/>
      <c r="S81" s="164">
        <f t="shared" si="34"/>
        <v>0.9999955225016679</v>
      </c>
    </row>
    <row r="82" spans="1:19" s="218" customFormat="1">
      <c r="A82" s="559"/>
      <c r="B82" s="227">
        <v>80130</v>
      </c>
      <c r="C82" s="228">
        <v>20440901</v>
      </c>
      <c r="D82" s="213">
        <f t="shared" si="35"/>
        <v>20253617</v>
      </c>
      <c r="E82" s="214">
        <f t="shared" si="36"/>
        <v>19166373</v>
      </c>
      <c r="F82" s="214">
        <f t="shared" si="37"/>
        <v>18836351</v>
      </c>
      <c r="G82" s="215">
        <f>12795953+902728+2253963+265539+32361</f>
        <v>16250544</v>
      </c>
      <c r="H82" s="216">
        <f>16627+138101+234109+612194+423842+16434+289673+35419+7176+2245+28847+12+6840+21272+12005+731825+9186</f>
        <v>2585807</v>
      </c>
      <c r="I82" s="214"/>
      <c r="J82" s="213">
        <f>55222+274800</f>
        <v>330022</v>
      </c>
      <c r="K82" s="214"/>
      <c r="L82" s="213"/>
      <c r="M82" s="214"/>
      <c r="N82" s="214">
        <f t="shared" si="26"/>
        <v>1087244</v>
      </c>
      <c r="O82" s="215">
        <v>1087244</v>
      </c>
      <c r="P82" s="217">
        <f>867782+219462</f>
        <v>1087244</v>
      </c>
      <c r="Q82" s="217"/>
      <c r="R82" s="216"/>
      <c r="S82" s="164">
        <f t="shared" si="34"/>
        <v>0.99083778156354263</v>
      </c>
    </row>
    <row r="83" spans="1:19" s="218" customFormat="1">
      <c r="A83" s="559"/>
      <c r="B83" s="227">
        <v>80141</v>
      </c>
      <c r="C83" s="228">
        <v>10631896</v>
      </c>
      <c r="D83" s="213">
        <f t="shared" si="35"/>
        <v>10075089</v>
      </c>
      <c r="E83" s="214">
        <f t="shared" si="36"/>
        <v>10075089</v>
      </c>
      <c r="F83" s="214">
        <f t="shared" si="37"/>
        <v>9942701</v>
      </c>
      <c r="G83" s="215">
        <f>6668379+542069+1152230+127264+391513</f>
        <v>8881455</v>
      </c>
      <c r="H83" s="216">
        <f>7104+107365+361+327461+29604+8883+158866+8839+17025+615+21109+13230+349763+11021</f>
        <v>1061246</v>
      </c>
      <c r="I83" s="214"/>
      <c r="J83" s="213">
        <f>11588+120800</f>
        <v>132388</v>
      </c>
      <c r="K83" s="214"/>
      <c r="L83" s="213"/>
      <c r="M83" s="214"/>
      <c r="N83" s="214">
        <f t="shared" si="26"/>
        <v>0</v>
      </c>
      <c r="O83" s="215"/>
      <c r="P83" s="217"/>
      <c r="Q83" s="217"/>
      <c r="R83" s="216"/>
      <c r="S83" s="164">
        <f t="shared" si="34"/>
        <v>0.94762862616413857</v>
      </c>
    </row>
    <row r="84" spans="1:19" s="218" customFormat="1" ht="12" customHeight="1">
      <c r="A84" s="559"/>
      <c r="B84" s="227">
        <v>80146</v>
      </c>
      <c r="C84" s="228">
        <v>12582231</v>
      </c>
      <c r="D84" s="213">
        <f t="shared" si="35"/>
        <v>10902412</v>
      </c>
      <c r="E84" s="214">
        <f t="shared" si="36"/>
        <v>10404861</v>
      </c>
      <c r="F84" s="214">
        <f>SUM(G84:H84)</f>
        <v>7228884</v>
      </c>
      <c r="G84" s="215">
        <f>5052700+364638+873150+94137+24171</f>
        <v>6408796</v>
      </c>
      <c r="H84" s="216">
        <f>53369+65066+190818+44500+11073+56938+3006+7400+9536+65840+223403+89139</f>
        <v>820088</v>
      </c>
      <c r="I84" s="214">
        <v>4916</v>
      </c>
      <c r="J84" s="213">
        <v>17141</v>
      </c>
      <c r="K84" s="214">
        <f>363+38+746945+63625+41219+5461+131383+9887+17476+1690+5800+45675+29881+3876+86148+8442+324784+13490+391398+14256+3115+165+51572+957018+105337+13861+7425+1489+2053+46567+2503+19723+1255</f>
        <v>3153920</v>
      </c>
      <c r="L84" s="213"/>
      <c r="M84" s="214"/>
      <c r="N84" s="214">
        <f t="shared" si="26"/>
        <v>497551</v>
      </c>
      <c r="O84" s="215">
        <f>120000+377551</f>
        <v>497551</v>
      </c>
      <c r="P84" s="217">
        <v>377551</v>
      </c>
      <c r="Q84" s="217"/>
      <c r="R84" s="216"/>
      <c r="S84" s="164">
        <f t="shared" si="34"/>
        <v>0.86649275474277976</v>
      </c>
    </row>
    <row r="85" spans="1:19" s="218" customFormat="1">
      <c r="A85" s="559"/>
      <c r="B85" s="227">
        <v>80147</v>
      </c>
      <c r="C85" s="228">
        <v>10384098</v>
      </c>
      <c r="D85" s="213">
        <f t="shared" si="35"/>
        <v>10353403</v>
      </c>
      <c r="E85" s="214">
        <f t="shared" si="36"/>
        <v>10094947</v>
      </c>
      <c r="F85" s="214">
        <f t="shared" si="37"/>
        <v>10087710</v>
      </c>
      <c r="G85" s="215">
        <f>6035517+458748+1070596+109585+3600</f>
        <v>7678046</v>
      </c>
      <c r="H85" s="216">
        <f>38818+249484+243759+547958+112193+7042+370021+92838+2348+28633+956+314396+21638+17690+351227+10663</f>
        <v>2409664</v>
      </c>
      <c r="I85" s="214"/>
      <c r="J85" s="213">
        <v>7237</v>
      </c>
      <c r="K85" s="214"/>
      <c r="L85" s="213"/>
      <c r="M85" s="214"/>
      <c r="N85" s="214">
        <f t="shared" si="26"/>
        <v>258456</v>
      </c>
      <c r="O85" s="215">
        <v>258456</v>
      </c>
      <c r="P85" s="217"/>
      <c r="Q85" s="217"/>
      <c r="R85" s="216"/>
      <c r="S85" s="164">
        <f t="shared" si="34"/>
        <v>0.99704403791258522</v>
      </c>
    </row>
    <row r="86" spans="1:19" s="218" customFormat="1" ht="15" customHeight="1" thickBot="1">
      <c r="A86" s="559"/>
      <c r="B86" s="227">
        <v>80195</v>
      </c>
      <c r="C86" s="228">
        <v>13958547</v>
      </c>
      <c r="D86" s="213">
        <f t="shared" si="35"/>
        <v>11040510</v>
      </c>
      <c r="E86" s="214">
        <f t="shared" si="36"/>
        <v>11002128</v>
      </c>
      <c r="F86" s="214">
        <f t="shared" si="37"/>
        <v>462928</v>
      </c>
      <c r="G86" s="215">
        <v>3840</v>
      </c>
      <c r="H86" s="216">
        <f>812+6000+16+36+448802+3422</f>
        <v>459088</v>
      </c>
      <c r="I86" s="214">
        <v>2107942</v>
      </c>
      <c r="J86" s="213">
        <f>67892+98200+139800</f>
        <v>305892</v>
      </c>
      <c r="K86" s="214">
        <v>8125366</v>
      </c>
      <c r="L86" s="213"/>
      <c r="M86" s="214"/>
      <c r="N86" s="214">
        <f t="shared" si="26"/>
        <v>38382</v>
      </c>
      <c r="O86" s="215">
        <v>38382</v>
      </c>
      <c r="P86" s="217">
        <v>23041</v>
      </c>
      <c r="Q86" s="217"/>
      <c r="R86" s="216"/>
      <c r="S86" s="173">
        <f t="shared" si="34"/>
        <v>0.79094980301316464</v>
      </c>
    </row>
    <row r="87" spans="1:19" s="153" customFormat="1" ht="13.5" thickBot="1">
      <c r="A87" s="145" t="s">
        <v>310</v>
      </c>
      <c r="B87" s="220"/>
      <c r="C87" s="221">
        <f>SUM(C88:C90)</f>
        <v>9320484</v>
      </c>
      <c r="D87" s="147">
        <f>SUM(D88:D90)</f>
        <v>7961016</v>
      </c>
      <c r="E87" s="148">
        <f t="shared" ref="E87:R87" si="38">SUM(E88:E90)</f>
        <v>6437927</v>
      </c>
      <c r="F87" s="148">
        <f t="shared" si="38"/>
        <v>0</v>
      </c>
      <c r="G87" s="149">
        <f t="shared" si="38"/>
        <v>0</v>
      </c>
      <c r="H87" s="150">
        <f t="shared" si="38"/>
        <v>0</v>
      </c>
      <c r="I87" s="148">
        <f t="shared" si="38"/>
        <v>1350000</v>
      </c>
      <c r="J87" s="147">
        <f t="shared" si="38"/>
        <v>0</v>
      </c>
      <c r="K87" s="148">
        <f t="shared" si="38"/>
        <v>5087927</v>
      </c>
      <c r="L87" s="147">
        <f t="shared" si="38"/>
        <v>0</v>
      </c>
      <c r="M87" s="148">
        <f t="shared" si="38"/>
        <v>0</v>
      </c>
      <c r="N87" s="148">
        <f t="shared" si="38"/>
        <v>1523089</v>
      </c>
      <c r="O87" s="149">
        <f t="shared" si="38"/>
        <v>1523089</v>
      </c>
      <c r="P87" s="151">
        <f t="shared" si="38"/>
        <v>0</v>
      </c>
      <c r="Q87" s="151">
        <f t="shared" si="38"/>
        <v>0</v>
      </c>
      <c r="R87" s="150">
        <f t="shared" si="38"/>
        <v>0</v>
      </c>
      <c r="S87" s="152">
        <f t="shared" si="34"/>
        <v>0.85414190936865508</v>
      </c>
    </row>
    <row r="88" spans="1:19" s="218" customFormat="1">
      <c r="A88" s="558"/>
      <c r="B88" s="222">
        <v>80306</v>
      </c>
      <c r="C88" s="223">
        <v>2258700</v>
      </c>
      <c r="D88" s="209">
        <f>SUM(E88,N88)</f>
        <v>1523089</v>
      </c>
      <c r="E88" s="210">
        <f>SUM(F88,M88,L88,K88,J88,I88)</f>
        <v>0</v>
      </c>
      <c r="F88" s="210">
        <f>SUM(G88:H88)</f>
        <v>0</v>
      </c>
      <c r="G88" s="224"/>
      <c r="H88" s="225"/>
      <c r="I88" s="210"/>
      <c r="J88" s="209"/>
      <c r="K88" s="210"/>
      <c r="L88" s="209"/>
      <c r="M88" s="210"/>
      <c r="N88" s="210">
        <f t="shared" si="26"/>
        <v>1523089</v>
      </c>
      <c r="O88" s="224">
        <v>1523089</v>
      </c>
      <c r="P88" s="226"/>
      <c r="Q88" s="226"/>
      <c r="R88" s="225"/>
      <c r="S88" s="164">
        <f t="shared" si="34"/>
        <v>0.67432106964182936</v>
      </c>
    </row>
    <row r="89" spans="1:19" s="218" customFormat="1">
      <c r="A89" s="558"/>
      <c r="B89" s="222">
        <v>80309</v>
      </c>
      <c r="C89" s="223">
        <v>5618784</v>
      </c>
      <c r="D89" s="209">
        <f>SUM(E89,N89)</f>
        <v>5087927</v>
      </c>
      <c r="E89" s="210">
        <f>SUM(F89,M89,L89,K89,J89,I89)</f>
        <v>5087927</v>
      </c>
      <c r="F89" s="210">
        <f>SUM(G89:H89)</f>
        <v>0</v>
      </c>
      <c r="G89" s="224"/>
      <c r="H89" s="287"/>
      <c r="I89" s="210"/>
      <c r="J89" s="209"/>
      <c r="K89" s="210">
        <f>34680+3060+4144260+731340+63926+11281+4850+856+11137+1965+1603+283+63240+11160+1660+293+1169+206+958</f>
        <v>5087927</v>
      </c>
      <c r="L89" s="209"/>
      <c r="M89" s="210"/>
      <c r="N89" s="210">
        <f t="shared" si="26"/>
        <v>0</v>
      </c>
      <c r="O89" s="224"/>
      <c r="P89" s="226"/>
      <c r="Q89" s="226"/>
      <c r="R89" s="287"/>
      <c r="S89" s="164">
        <f t="shared" si="34"/>
        <v>0.90552101664701834</v>
      </c>
    </row>
    <row r="90" spans="1:19" s="218" customFormat="1" ht="12.75" customHeight="1" thickBot="1">
      <c r="A90" s="559"/>
      <c r="B90" s="227">
        <v>80395</v>
      </c>
      <c r="C90" s="228">
        <v>1443000</v>
      </c>
      <c r="D90" s="209">
        <f>SUM(E90,N90)</f>
        <v>1350000</v>
      </c>
      <c r="E90" s="210">
        <f>SUM(F90,M90,L90,K90,J90,I90)</f>
        <v>1350000</v>
      </c>
      <c r="F90" s="210">
        <f>SUM(G90:H90)</f>
        <v>0</v>
      </c>
      <c r="G90" s="215"/>
      <c r="H90" s="216"/>
      <c r="I90" s="214">
        <f>200000+1150000</f>
        <v>1350000</v>
      </c>
      <c r="J90" s="213"/>
      <c r="K90" s="214"/>
      <c r="L90" s="213"/>
      <c r="M90" s="214"/>
      <c r="N90" s="214">
        <f>SUM(O90,Q90,R90)</f>
        <v>0</v>
      </c>
      <c r="O90" s="215"/>
      <c r="P90" s="217"/>
      <c r="Q90" s="217"/>
      <c r="R90" s="216"/>
      <c r="S90" s="173">
        <f t="shared" si="34"/>
        <v>0.9355509355509356</v>
      </c>
    </row>
    <row r="91" spans="1:19" s="153" customFormat="1" ht="13.5" thickBot="1">
      <c r="A91" s="145" t="s">
        <v>311</v>
      </c>
      <c r="B91" s="220"/>
      <c r="C91" s="221">
        <f>SUM(C92:C101)</f>
        <v>63790981</v>
      </c>
      <c r="D91" s="147">
        <f>SUM(D92:D101)</f>
        <v>62466313</v>
      </c>
      <c r="E91" s="148">
        <f>SUM(E92:E101)</f>
        <v>5091844</v>
      </c>
      <c r="F91" s="148">
        <f>SUM(F92:F101)</f>
        <v>1212351</v>
      </c>
      <c r="G91" s="149">
        <f t="shared" ref="G91:R91" si="39">SUM(G92:G101)</f>
        <v>0</v>
      </c>
      <c r="H91" s="150">
        <f t="shared" si="39"/>
        <v>1212351</v>
      </c>
      <c r="I91" s="148">
        <f>SUM(I92:I101)</f>
        <v>3879493</v>
      </c>
      <c r="J91" s="147">
        <f t="shared" si="39"/>
        <v>0</v>
      </c>
      <c r="K91" s="148">
        <f t="shared" si="39"/>
        <v>0</v>
      </c>
      <c r="L91" s="147">
        <f t="shared" si="39"/>
        <v>0</v>
      </c>
      <c r="M91" s="148">
        <f t="shared" si="39"/>
        <v>0</v>
      </c>
      <c r="N91" s="148">
        <f t="shared" si="39"/>
        <v>57374469</v>
      </c>
      <c r="O91" s="149">
        <f>SUM(O92:O101)</f>
        <v>57374469</v>
      </c>
      <c r="P91" s="151">
        <f t="shared" si="39"/>
        <v>0</v>
      </c>
      <c r="Q91" s="151">
        <f t="shared" si="39"/>
        <v>0</v>
      </c>
      <c r="R91" s="150">
        <f t="shared" si="39"/>
        <v>0</v>
      </c>
      <c r="S91" s="152">
        <f t="shared" si="34"/>
        <v>0.97923424316048691</v>
      </c>
    </row>
    <row r="92" spans="1:19" s="218" customFormat="1">
      <c r="A92" s="558"/>
      <c r="B92" s="222">
        <v>85111</v>
      </c>
      <c r="C92" s="223">
        <v>55299342</v>
      </c>
      <c r="D92" s="209">
        <f t="shared" ref="D92:D101" si="40">SUM(E92,N92)</f>
        <v>54129107</v>
      </c>
      <c r="E92" s="210">
        <f>SUM(F92,M92,L92,K92,J92,I92)</f>
        <v>2126245</v>
      </c>
      <c r="F92" s="210">
        <f>SUM(G92:H92)</f>
        <v>0</v>
      </c>
      <c r="G92" s="224"/>
      <c r="H92" s="225"/>
      <c r="I92" s="210">
        <v>2126245</v>
      </c>
      <c r="J92" s="209"/>
      <c r="K92" s="210"/>
      <c r="L92" s="209"/>
      <c r="M92" s="210"/>
      <c r="N92" s="210">
        <f t="shared" si="26"/>
        <v>52002862</v>
      </c>
      <c r="O92" s="224">
        <v>52002862</v>
      </c>
      <c r="P92" s="226"/>
      <c r="Q92" s="226"/>
      <c r="R92" s="225"/>
      <c r="S92" s="164">
        <f t="shared" si="34"/>
        <v>0.97883817496417946</v>
      </c>
    </row>
    <row r="93" spans="1:19" s="218" customFormat="1">
      <c r="A93" s="559"/>
      <c r="B93" s="227">
        <v>85115</v>
      </c>
      <c r="C93" s="228">
        <v>500364</v>
      </c>
      <c r="D93" s="213">
        <f t="shared" si="40"/>
        <v>444826</v>
      </c>
      <c r="E93" s="214">
        <f t="shared" ref="E93:E101" si="41">SUM(F93,M93,L93,K93,J93,I93)</f>
        <v>0</v>
      </c>
      <c r="F93" s="214">
        <f>SUM(G93:H93)</f>
        <v>0</v>
      </c>
      <c r="G93" s="215"/>
      <c r="H93" s="216"/>
      <c r="I93" s="214"/>
      <c r="J93" s="213"/>
      <c r="K93" s="214"/>
      <c r="L93" s="213"/>
      <c r="M93" s="214"/>
      <c r="N93" s="214">
        <f t="shared" si="26"/>
        <v>444826</v>
      </c>
      <c r="O93" s="215">
        <v>444826</v>
      </c>
      <c r="P93" s="217"/>
      <c r="Q93" s="217"/>
      <c r="R93" s="216"/>
      <c r="S93" s="164">
        <f t="shared" si="34"/>
        <v>0.88900480450232233</v>
      </c>
    </row>
    <row r="94" spans="1:19" s="218" customFormat="1">
      <c r="A94" s="559"/>
      <c r="B94" s="227">
        <v>85120</v>
      </c>
      <c r="C94" s="228">
        <v>3678731</v>
      </c>
      <c r="D94" s="213">
        <f t="shared" si="40"/>
        <v>3660051</v>
      </c>
      <c r="E94" s="214">
        <f t="shared" si="41"/>
        <v>101276</v>
      </c>
      <c r="F94" s="214">
        <f t="shared" ref="F94:F101" si="42">SUM(G94:H94)</f>
        <v>0</v>
      </c>
      <c r="G94" s="215"/>
      <c r="H94" s="216"/>
      <c r="I94" s="214">
        <v>101276</v>
      </c>
      <c r="J94" s="213"/>
      <c r="K94" s="214"/>
      <c r="L94" s="213"/>
      <c r="M94" s="214"/>
      <c r="N94" s="214">
        <f t="shared" si="26"/>
        <v>3558775</v>
      </c>
      <c r="O94" s="215">
        <v>3558775</v>
      </c>
      <c r="P94" s="217"/>
      <c r="Q94" s="217"/>
      <c r="R94" s="216"/>
      <c r="S94" s="164">
        <f t="shared" si="34"/>
        <v>0.99492216201728256</v>
      </c>
    </row>
    <row r="95" spans="1:19" s="218" customFormat="1">
      <c r="A95" s="559"/>
      <c r="B95" s="227">
        <v>85121</v>
      </c>
      <c r="C95" s="228">
        <v>552904</v>
      </c>
      <c r="D95" s="213">
        <f t="shared" si="40"/>
        <v>519049</v>
      </c>
      <c r="E95" s="214">
        <f t="shared" si="41"/>
        <v>4000</v>
      </c>
      <c r="F95" s="214">
        <f t="shared" si="42"/>
        <v>0</v>
      </c>
      <c r="G95" s="215"/>
      <c r="H95" s="216"/>
      <c r="I95" s="214">
        <v>4000</v>
      </c>
      <c r="J95" s="213"/>
      <c r="K95" s="214"/>
      <c r="L95" s="213"/>
      <c r="M95" s="214"/>
      <c r="N95" s="214">
        <f t="shared" si="26"/>
        <v>515049</v>
      </c>
      <c r="O95" s="215">
        <v>515049</v>
      </c>
      <c r="P95" s="217"/>
      <c r="Q95" s="217"/>
      <c r="R95" s="216"/>
      <c r="S95" s="164">
        <f t="shared" si="34"/>
        <v>0.93876875551632832</v>
      </c>
    </row>
    <row r="96" spans="1:19" s="218" customFormat="1">
      <c r="A96" s="559"/>
      <c r="B96" s="227">
        <v>85141</v>
      </c>
      <c r="C96" s="228">
        <v>357746</v>
      </c>
      <c r="D96" s="213">
        <f t="shared" si="40"/>
        <v>355792</v>
      </c>
      <c r="E96" s="214">
        <f t="shared" si="41"/>
        <v>0</v>
      </c>
      <c r="F96" s="214">
        <f t="shared" si="42"/>
        <v>0</v>
      </c>
      <c r="G96" s="215"/>
      <c r="H96" s="216"/>
      <c r="I96" s="214"/>
      <c r="J96" s="213"/>
      <c r="K96" s="214"/>
      <c r="L96" s="213"/>
      <c r="M96" s="214"/>
      <c r="N96" s="214">
        <f t="shared" si="26"/>
        <v>355792</v>
      </c>
      <c r="O96" s="215">
        <v>355792</v>
      </c>
      <c r="P96" s="217"/>
      <c r="Q96" s="217"/>
      <c r="R96" s="216"/>
      <c r="S96" s="164">
        <f t="shared" si="34"/>
        <v>0.99453802418475679</v>
      </c>
    </row>
    <row r="97" spans="1:19" s="218" customFormat="1">
      <c r="A97" s="559"/>
      <c r="B97" s="227">
        <v>85148</v>
      </c>
      <c r="C97" s="228">
        <v>2351386</v>
      </c>
      <c r="D97" s="213">
        <f t="shared" si="40"/>
        <v>2346999</v>
      </c>
      <c r="E97" s="214">
        <f t="shared" si="41"/>
        <v>2346999</v>
      </c>
      <c r="F97" s="214">
        <f t="shared" si="42"/>
        <v>1149999</v>
      </c>
      <c r="G97" s="215"/>
      <c r="H97" s="216">
        <v>1149999</v>
      </c>
      <c r="I97" s="214">
        <v>1197000</v>
      </c>
      <c r="J97" s="213"/>
      <c r="K97" s="214"/>
      <c r="L97" s="213"/>
      <c r="M97" s="214"/>
      <c r="N97" s="214">
        <f t="shared" si="26"/>
        <v>0</v>
      </c>
      <c r="O97" s="215"/>
      <c r="P97" s="217"/>
      <c r="Q97" s="217"/>
      <c r="R97" s="216"/>
      <c r="S97" s="164">
        <f t="shared" si="34"/>
        <v>0.99813429186020497</v>
      </c>
    </row>
    <row r="98" spans="1:19" s="218" customFormat="1">
      <c r="A98" s="559"/>
      <c r="B98" s="227">
        <v>85153</v>
      </c>
      <c r="C98" s="228">
        <v>80000</v>
      </c>
      <c r="D98" s="213">
        <f t="shared" si="40"/>
        <v>79769</v>
      </c>
      <c r="E98" s="214">
        <f t="shared" si="41"/>
        <v>79769</v>
      </c>
      <c r="F98" s="214">
        <f t="shared" si="42"/>
        <v>0</v>
      </c>
      <c r="G98" s="215"/>
      <c r="H98" s="216"/>
      <c r="I98" s="214">
        <v>79769</v>
      </c>
      <c r="J98" s="213"/>
      <c r="K98" s="214"/>
      <c r="L98" s="213"/>
      <c r="M98" s="214"/>
      <c r="N98" s="214">
        <f t="shared" si="26"/>
        <v>0</v>
      </c>
      <c r="O98" s="215"/>
      <c r="P98" s="217"/>
      <c r="Q98" s="217"/>
      <c r="R98" s="216"/>
      <c r="S98" s="164">
        <f t="shared" si="34"/>
        <v>0.99711249999999996</v>
      </c>
    </row>
    <row r="99" spans="1:19" s="218" customFormat="1">
      <c r="A99" s="559"/>
      <c r="B99" s="227">
        <v>85154</v>
      </c>
      <c r="C99" s="228">
        <v>923750</v>
      </c>
      <c r="D99" s="213">
        <f t="shared" si="40"/>
        <v>888115</v>
      </c>
      <c r="E99" s="214">
        <f t="shared" si="41"/>
        <v>390950</v>
      </c>
      <c r="F99" s="214">
        <f t="shared" si="42"/>
        <v>24740</v>
      </c>
      <c r="G99" s="215"/>
      <c r="H99" s="216">
        <f>22240+2500</f>
        <v>24740</v>
      </c>
      <c r="I99" s="214">
        <f>30837+33405+301968</f>
        <v>366210</v>
      </c>
      <c r="J99" s="213"/>
      <c r="K99" s="214"/>
      <c r="L99" s="213"/>
      <c r="M99" s="214"/>
      <c r="N99" s="214">
        <f t="shared" si="26"/>
        <v>497165</v>
      </c>
      <c r="O99" s="215">
        <f>261117+236048</f>
        <v>497165</v>
      </c>
      <c r="P99" s="217"/>
      <c r="Q99" s="217"/>
      <c r="R99" s="216"/>
      <c r="S99" s="164">
        <f t="shared" si="34"/>
        <v>0.96142354533152907</v>
      </c>
    </row>
    <row r="100" spans="1:19" s="218" customFormat="1">
      <c r="A100" s="559"/>
      <c r="B100" s="227">
        <v>85156</v>
      </c>
      <c r="C100" s="228">
        <v>35248</v>
      </c>
      <c r="D100" s="213">
        <f t="shared" si="40"/>
        <v>34819</v>
      </c>
      <c r="E100" s="214">
        <f t="shared" si="41"/>
        <v>34819</v>
      </c>
      <c r="F100" s="214">
        <f t="shared" si="42"/>
        <v>34819</v>
      </c>
      <c r="G100" s="215"/>
      <c r="H100" s="216">
        <v>34819</v>
      </c>
      <c r="I100" s="214"/>
      <c r="J100" s="213"/>
      <c r="K100" s="214"/>
      <c r="L100" s="213"/>
      <c r="M100" s="214"/>
      <c r="N100" s="214">
        <f t="shared" si="26"/>
        <v>0</v>
      </c>
      <c r="O100" s="215"/>
      <c r="P100" s="217"/>
      <c r="Q100" s="217"/>
      <c r="R100" s="216"/>
      <c r="S100" s="164">
        <f t="shared" si="34"/>
        <v>0.98782909668633678</v>
      </c>
    </row>
    <row r="101" spans="1:19" s="218" customFormat="1" ht="13.5" thickBot="1">
      <c r="A101" s="560"/>
      <c r="B101" s="229">
        <v>85195</v>
      </c>
      <c r="C101" s="230">
        <v>11510</v>
      </c>
      <c r="D101" s="231">
        <f t="shared" si="40"/>
        <v>7786</v>
      </c>
      <c r="E101" s="232">
        <f t="shared" si="41"/>
        <v>7786</v>
      </c>
      <c r="F101" s="232">
        <f t="shared" si="42"/>
        <v>2793</v>
      </c>
      <c r="G101" s="233"/>
      <c r="H101" s="234">
        <v>2793</v>
      </c>
      <c r="I101" s="232">
        <v>4993</v>
      </c>
      <c r="J101" s="231"/>
      <c r="K101" s="232"/>
      <c r="L101" s="231"/>
      <c r="M101" s="232"/>
      <c r="N101" s="232">
        <f t="shared" si="26"/>
        <v>0</v>
      </c>
      <c r="O101" s="233"/>
      <c r="P101" s="235"/>
      <c r="Q101" s="235"/>
      <c r="R101" s="234"/>
      <c r="S101" s="173">
        <f t="shared" si="34"/>
        <v>0.6764552562988706</v>
      </c>
    </row>
    <row r="102" spans="1:19" s="153" customFormat="1" ht="13.5" thickBot="1">
      <c r="A102" s="145" t="s">
        <v>312</v>
      </c>
      <c r="B102" s="220"/>
      <c r="C102" s="221">
        <f>SUM(C103:C111)</f>
        <v>11010805</v>
      </c>
      <c r="D102" s="148">
        <f>SUM(D103:D111)</f>
        <v>9704144</v>
      </c>
      <c r="E102" s="148">
        <f t="shared" ref="E102:R102" si="43">SUM(E103:E111)</f>
        <v>9624862</v>
      </c>
      <c r="F102" s="148">
        <f t="shared" si="43"/>
        <v>3549717</v>
      </c>
      <c r="G102" s="148">
        <f t="shared" si="43"/>
        <v>2848086</v>
      </c>
      <c r="H102" s="148">
        <f t="shared" si="43"/>
        <v>701631</v>
      </c>
      <c r="I102" s="148">
        <f t="shared" si="43"/>
        <v>5741563</v>
      </c>
      <c r="J102" s="148">
        <f t="shared" si="43"/>
        <v>3695</v>
      </c>
      <c r="K102" s="148">
        <f t="shared" si="43"/>
        <v>329887</v>
      </c>
      <c r="L102" s="148">
        <f t="shared" si="43"/>
        <v>0</v>
      </c>
      <c r="M102" s="148">
        <f t="shared" si="43"/>
        <v>0</v>
      </c>
      <c r="N102" s="148">
        <f t="shared" si="43"/>
        <v>79282</v>
      </c>
      <c r="O102" s="148">
        <f t="shared" si="43"/>
        <v>79282</v>
      </c>
      <c r="P102" s="148">
        <f t="shared" si="43"/>
        <v>33656</v>
      </c>
      <c r="Q102" s="148">
        <f t="shared" si="43"/>
        <v>0</v>
      </c>
      <c r="R102" s="148">
        <f t="shared" si="43"/>
        <v>0</v>
      </c>
      <c r="S102" s="152">
        <f t="shared" si="34"/>
        <v>0.88132920345061061</v>
      </c>
    </row>
    <row r="103" spans="1:19" s="153" customFormat="1">
      <c r="A103" s="561"/>
      <c r="B103" s="236">
        <v>85202</v>
      </c>
      <c r="C103" s="237">
        <v>40134</v>
      </c>
      <c r="D103" s="238">
        <f>SUM(E103,N103)</f>
        <v>40134</v>
      </c>
      <c r="E103" s="239">
        <f t="shared" ref="E103:E110" si="44">SUM(F103,M103,L103,K103,J103,I103)</f>
        <v>40134</v>
      </c>
      <c r="F103" s="239">
        <f>SUM(G103:H103)</f>
        <v>0</v>
      </c>
      <c r="G103" s="240"/>
      <c r="H103" s="241"/>
      <c r="I103" s="239">
        <v>40134</v>
      </c>
      <c r="J103" s="238"/>
      <c r="K103" s="239"/>
      <c r="L103" s="238"/>
      <c r="M103" s="239"/>
      <c r="N103" s="239">
        <f t="shared" si="26"/>
        <v>0</v>
      </c>
      <c r="O103" s="240"/>
      <c r="P103" s="242"/>
      <c r="Q103" s="242"/>
      <c r="R103" s="241"/>
      <c r="S103" s="164">
        <f t="shared" si="34"/>
        <v>1</v>
      </c>
    </row>
    <row r="104" spans="1:19" s="218" customFormat="1" ht="14.25" customHeight="1">
      <c r="A104" s="562"/>
      <c r="B104" s="222">
        <v>85212</v>
      </c>
      <c r="C104" s="223">
        <v>1441221</v>
      </c>
      <c r="D104" s="209">
        <f>SUM(E104,N104)</f>
        <v>1417181</v>
      </c>
      <c r="E104" s="210">
        <f t="shared" si="44"/>
        <v>1400989</v>
      </c>
      <c r="F104" s="210">
        <f>SUM(G104:H104)</f>
        <v>1400068</v>
      </c>
      <c r="G104" s="224">
        <f>824540+54058+146448+18219+1212</f>
        <v>1044477</v>
      </c>
      <c r="H104" s="225">
        <f>12078+30500+2413+6005+1944+221933+2590+7885+29582+9559+972+26407+403+3320</f>
        <v>355591</v>
      </c>
      <c r="I104" s="210">
        <v>88</v>
      </c>
      <c r="J104" s="209">
        <v>833</v>
      </c>
      <c r="K104" s="210"/>
      <c r="L104" s="209"/>
      <c r="M104" s="210"/>
      <c r="N104" s="210">
        <f t="shared" si="26"/>
        <v>16192</v>
      </c>
      <c r="O104" s="224">
        <v>16192</v>
      </c>
      <c r="P104" s="226"/>
      <c r="Q104" s="226"/>
      <c r="R104" s="225"/>
      <c r="S104" s="164">
        <f t="shared" si="34"/>
        <v>0.98331969906072703</v>
      </c>
    </row>
    <row r="105" spans="1:19" s="218" customFormat="1" ht="14.25" customHeight="1">
      <c r="A105" s="562"/>
      <c r="B105" s="222">
        <v>85214</v>
      </c>
      <c r="C105" s="223">
        <v>77266</v>
      </c>
      <c r="D105" s="209">
        <f t="shared" ref="D105:D106" si="45">SUM(E105,N105)</f>
        <v>77266</v>
      </c>
      <c r="E105" s="210">
        <f t="shared" si="44"/>
        <v>77266</v>
      </c>
      <c r="F105" s="210">
        <f t="shared" ref="F105:F106" si="46">SUM(G105:H105)</f>
        <v>0</v>
      </c>
      <c r="G105" s="224"/>
      <c r="H105" s="225"/>
      <c r="I105" s="210">
        <v>77266</v>
      </c>
      <c r="J105" s="209"/>
      <c r="K105" s="210"/>
      <c r="L105" s="209"/>
      <c r="M105" s="210"/>
      <c r="N105" s="210">
        <f t="shared" si="26"/>
        <v>0</v>
      </c>
      <c r="O105" s="224"/>
      <c r="P105" s="226"/>
      <c r="Q105" s="226"/>
      <c r="R105" s="225"/>
      <c r="S105" s="164">
        <f t="shared" si="34"/>
        <v>1</v>
      </c>
    </row>
    <row r="106" spans="1:19" s="218" customFormat="1" ht="14.25" customHeight="1">
      <c r="A106" s="562"/>
      <c r="B106" s="222">
        <v>85215</v>
      </c>
      <c r="C106" s="223">
        <v>21471</v>
      </c>
      <c r="D106" s="209">
        <f t="shared" si="45"/>
        <v>21471</v>
      </c>
      <c r="E106" s="210">
        <f t="shared" si="44"/>
        <v>21471</v>
      </c>
      <c r="F106" s="210">
        <f t="shared" si="46"/>
        <v>0</v>
      </c>
      <c r="G106" s="224"/>
      <c r="H106" s="225"/>
      <c r="I106" s="210">
        <v>21471</v>
      </c>
      <c r="J106" s="209"/>
      <c r="K106" s="210"/>
      <c r="L106" s="209"/>
      <c r="M106" s="210"/>
      <c r="N106" s="210">
        <f t="shared" si="26"/>
        <v>0</v>
      </c>
      <c r="O106" s="224"/>
      <c r="P106" s="226"/>
      <c r="Q106" s="226"/>
      <c r="R106" s="225"/>
      <c r="S106" s="164">
        <f t="shared" si="34"/>
        <v>1</v>
      </c>
    </row>
    <row r="107" spans="1:19" s="218" customFormat="1" ht="14.25" customHeight="1">
      <c r="A107" s="562"/>
      <c r="B107" s="227">
        <v>85217</v>
      </c>
      <c r="C107" s="228">
        <v>2239895</v>
      </c>
      <c r="D107" s="213">
        <f>SUM(E107,N107)</f>
        <v>2031870</v>
      </c>
      <c r="E107" s="214">
        <f t="shared" si="44"/>
        <v>2002436</v>
      </c>
      <c r="F107" s="214">
        <f>SUM(G107:H107)</f>
        <v>1356764</v>
      </c>
      <c r="G107" s="215">
        <f>908978+66877+148796+15848+2294</f>
        <v>1142793</v>
      </c>
      <c r="H107" s="216">
        <f>21234+43388+3157+4600+2170+66327+2632+2220+8890+14898+5928+1998+1583+29707+243+4996</f>
        <v>213971</v>
      </c>
      <c r="I107" s="214">
        <v>643605</v>
      </c>
      <c r="J107" s="213">
        <v>2067</v>
      </c>
      <c r="K107" s="214"/>
      <c r="L107" s="213"/>
      <c r="M107" s="214"/>
      <c r="N107" s="214">
        <f t="shared" si="26"/>
        <v>29434</v>
      </c>
      <c r="O107" s="215">
        <v>29434</v>
      </c>
      <c r="P107" s="217"/>
      <c r="Q107" s="217"/>
      <c r="R107" s="216"/>
      <c r="S107" s="164">
        <f t="shared" si="34"/>
        <v>0.90712734302277565</v>
      </c>
    </row>
    <row r="108" spans="1:19" s="218" customFormat="1" ht="14.25" customHeight="1">
      <c r="A108" s="562"/>
      <c r="B108" s="227">
        <v>85218</v>
      </c>
      <c r="C108" s="228">
        <v>457562</v>
      </c>
      <c r="D108" s="213">
        <f>SUM(E108,N108)</f>
        <v>390250</v>
      </c>
      <c r="E108" s="214">
        <f t="shared" si="44"/>
        <v>390250</v>
      </c>
      <c r="F108" s="214">
        <f>SUM(G108:H108)</f>
        <v>223</v>
      </c>
      <c r="G108" s="215"/>
      <c r="H108" s="216">
        <v>223</v>
      </c>
      <c r="I108" s="214">
        <f>385205+4822</f>
        <v>390027</v>
      </c>
      <c r="J108" s="213"/>
      <c r="K108" s="214"/>
      <c r="L108" s="213"/>
      <c r="M108" s="214"/>
      <c r="N108" s="214">
        <f t="shared" si="26"/>
        <v>0</v>
      </c>
      <c r="O108" s="215"/>
      <c r="P108" s="217"/>
      <c r="Q108" s="217"/>
      <c r="R108" s="216"/>
      <c r="S108" s="164">
        <f t="shared" si="34"/>
        <v>0.85288988158981738</v>
      </c>
    </row>
    <row r="109" spans="1:19" s="218" customFormat="1" ht="13.5" customHeight="1">
      <c r="A109" s="562"/>
      <c r="B109" s="227">
        <v>85219</v>
      </c>
      <c r="C109" s="228">
        <v>1405110</v>
      </c>
      <c r="D109" s="213">
        <f>SUM(E109,N109)</f>
        <v>1300691</v>
      </c>
      <c r="E109" s="214">
        <f t="shared" si="44"/>
        <v>1300691</v>
      </c>
      <c r="F109" s="214">
        <f>SUM(G109:H109)</f>
        <v>24</v>
      </c>
      <c r="G109" s="215"/>
      <c r="H109" s="216">
        <v>24</v>
      </c>
      <c r="I109" s="214">
        <f>1268084+30129+188+2266</f>
        <v>1300667</v>
      </c>
      <c r="J109" s="213"/>
      <c r="K109" s="214"/>
      <c r="L109" s="213"/>
      <c r="M109" s="214"/>
      <c r="N109" s="214">
        <f>SUM(O109,Q109,R109)</f>
        <v>0</v>
      </c>
      <c r="O109" s="215"/>
      <c r="P109" s="217"/>
      <c r="Q109" s="217"/>
      <c r="R109" s="216"/>
      <c r="S109" s="164">
        <f t="shared" si="34"/>
        <v>0.92568624520500176</v>
      </c>
    </row>
    <row r="110" spans="1:19" s="218" customFormat="1" ht="13.5" customHeight="1">
      <c r="A110" s="562"/>
      <c r="B110" s="227">
        <v>85226</v>
      </c>
      <c r="C110" s="228">
        <v>789964</v>
      </c>
      <c r="D110" s="213">
        <f>SUM(E110,N110)</f>
        <v>787344</v>
      </c>
      <c r="E110" s="214">
        <f t="shared" si="44"/>
        <v>787344</v>
      </c>
      <c r="F110" s="214">
        <f>SUM(G110:H110)</f>
        <v>786549</v>
      </c>
      <c r="G110" s="215">
        <f>555100+93030+11703+983</f>
        <v>660816</v>
      </c>
      <c r="H110" s="216">
        <f>5823+25924+1518+4600+758+33920+1328+4044+62+6186+26254+13116+2200</f>
        <v>125733</v>
      </c>
      <c r="I110" s="214"/>
      <c r="J110" s="213">
        <v>795</v>
      </c>
      <c r="K110" s="214"/>
      <c r="L110" s="213"/>
      <c r="M110" s="214"/>
      <c r="N110" s="214">
        <f>SUM(O110,Q110,R110)</f>
        <v>0</v>
      </c>
      <c r="O110" s="215"/>
      <c r="P110" s="217"/>
      <c r="Q110" s="217"/>
      <c r="R110" s="216"/>
      <c r="S110" s="164">
        <f t="shared" si="34"/>
        <v>0.9966833931672836</v>
      </c>
    </row>
    <row r="111" spans="1:19" s="218" customFormat="1" ht="12" customHeight="1" thickBot="1">
      <c r="A111" s="563"/>
      <c r="B111" s="227">
        <v>85295</v>
      </c>
      <c r="C111" s="228">
        <v>4538182</v>
      </c>
      <c r="D111" s="213">
        <f>SUM(E111,N111)</f>
        <v>3637937</v>
      </c>
      <c r="E111" s="214">
        <f>SUM(F111,M111,L111,K111,J111,I111)</f>
        <v>3604281</v>
      </c>
      <c r="F111" s="214">
        <f>SUM(G111:H111)</f>
        <v>6089</v>
      </c>
      <c r="G111" s="215"/>
      <c r="H111" s="216">
        <v>6089</v>
      </c>
      <c r="I111" s="214">
        <f>3070185+80999+40592+255+76274</f>
        <v>3268305</v>
      </c>
      <c r="J111" s="213"/>
      <c r="K111" s="214">
        <f>26438+149815+4481+25390+622+3524+2700+15300+5206+29500+79+447+8808+49909+75+426+147+835+61+343+831+4709+36+205</f>
        <v>329887</v>
      </c>
      <c r="L111" s="213"/>
      <c r="M111" s="214"/>
      <c r="N111" s="214">
        <f>SUM(O111,Q111,R111)</f>
        <v>33656</v>
      </c>
      <c r="O111" s="215">
        <v>33656</v>
      </c>
      <c r="P111" s="217">
        <f>5048+28608</f>
        <v>33656</v>
      </c>
      <c r="Q111" s="217"/>
      <c r="R111" s="216"/>
      <c r="S111" s="173">
        <f t="shared" si="34"/>
        <v>0.8016287138770547</v>
      </c>
    </row>
    <row r="112" spans="1:19" s="153" customFormat="1" ht="13.5" thickBot="1">
      <c r="A112" s="145" t="s">
        <v>313</v>
      </c>
      <c r="B112" s="220"/>
      <c r="C112" s="221">
        <f>SUM(C113:C115)</f>
        <v>32110229</v>
      </c>
      <c r="D112" s="147">
        <f>SUM(D113:D115)</f>
        <v>27684413</v>
      </c>
      <c r="E112" s="148">
        <f>SUM(E113:E115)</f>
        <v>27453713</v>
      </c>
      <c r="F112" s="148">
        <f t="shared" ref="F112:R112" si="47">SUM(F113:F115)</f>
        <v>8361930</v>
      </c>
      <c r="G112" s="149">
        <f t="shared" si="47"/>
        <v>6775313</v>
      </c>
      <c r="H112" s="150">
        <f t="shared" si="47"/>
        <v>1586617</v>
      </c>
      <c r="I112" s="148">
        <f>SUM(I113:I115)</f>
        <v>2325611</v>
      </c>
      <c r="J112" s="147">
        <f t="shared" si="47"/>
        <v>14047</v>
      </c>
      <c r="K112" s="148">
        <f t="shared" si="47"/>
        <v>16752125</v>
      </c>
      <c r="L112" s="147">
        <f t="shared" si="47"/>
        <v>0</v>
      </c>
      <c r="M112" s="148">
        <f t="shared" si="47"/>
        <v>0</v>
      </c>
      <c r="N112" s="148">
        <f t="shared" si="47"/>
        <v>230700</v>
      </c>
      <c r="O112" s="149">
        <f t="shared" si="47"/>
        <v>230700</v>
      </c>
      <c r="P112" s="151">
        <f t="shared" si="47"/>
        <v>0</v>
      </c>
      <c r="Q112" s="151">
        <f t="shared" si="47"/>
        <v>0</v>
      </c>
      <c r="R112" s="150">
        <f t="shared" si="47"/>
        <v>0</v>
      </c>
      <c r="S112" s="152">
        <f t="shared" si="34"/>
        <v>0.86216803374401352</v>
      </c>
    </row>
    <row r="113" spans="1:19" s="218" customFormat="1">
      <c r="A113" s="558"/>
      <c r="B113" s="222">
        <v>85311</v>
      </c>
      <c r="C113" s="223">
        <v>1016130</v>
      </c>
      <c r="D113" s="209">
        <f>SUM(E113,N113)</f>
        <v>1015917</v>
      </c>
      <c r="E113" s="210">
        <f>SUM(F113,M113,L113,K113,J113,I113)</f>
        <v>1015917</v>
      </c>
      <c r="F113" s="210">
        <f>SUM(G113:H113)</f>
        <v>0</v>
      </c>
      <c r="G113" s="224"/>
      <c r="H113" s="225"/>
      <c r="I113" s="210">
        <f>536490+65748+413679</f>
        <v>1015917</v>
      </c>
      <c r="J113" s="209"/>
      <c r="K113" s="210"/>
      <c r="L113" s="209"/>
      <c r="M113" s="210"/>
      <c r="N113" s="210">
        <f t="shared" si="26"/>
        <v>0</v>
      </c>
      <c r="O113" s="224"/>
      <c r="P113" s="226"/>
      <c r="Q113" s="226"/>
      <c r="R113" s="225"/>
      <c r="S113" s="164">
        <f t="shared" si="34"/>
        <v>0.9997903811520179</v>
      </c>
    </row>
    <row r="114" spans="1:19" s="218" customFormat="1" ht="13.5" customHeight="1">
      <c r="A114" s="559"/>
      <c r="B114" s="227">
        <v>85332</v>
      </c>
      <c r="C114" s="228">
        <v>23741072</v>
      </c>
      <c r="D114" s="213">
        <f>SUM(E114,N114)</f>
        <v>22913395</v>
      </c>
      <c r="E114" s="214">
        <f>SUM(F114,M114,L114,K114,J114,I114)</f>
        <v>22683445</v>
      </c>
      <c r="F114" s="214">
        <f>SUM(G114:H114)</f>
        <v>8360108</v>
      </c>
      <c r="G114" s="215">
        <f>5366982+342116+952522+106633+7060</f>
        <v>6775313</v>
      </c>
      <c r="H114" s="216">
        <f>48217+358365+171865+135065+16563+226997+4725+13850+23984+165126+50644+475+16682+279677+11546+23139+129+5453+32293</f>
        <v>1584795</v>
      </c>
      <c r="I114" s="214"/>
      <c r="J114" s="213">
        <v>14047</v>
      </c>
      <c r="K114" s="214">
        <f>1307002+230647+10686+1384+7118633+1256229+498551+87980+1259805+222318+147806+26083+156351+27591+171635+30289+95755+16898+1709+301+471429+83193+3030+535+5100+900+7008+1237+264106+46607+510978+90173+33044+5832+2174+384+2005+96817+17085</f>
        <v>14309290</v>
      </c>
      <c r="L114" s="213"/>
      <c r="M114" s="214"/>
      <c r="N114" s="214">
        <f t="shared" si="26"/>
        <v>229950</v>
      </c>
      <c r="O114" s="215">
        <f>17220+212730</f>
        <v>229950</v>
      </c>
      <c r="P114" s="217"/>
      <c r="Q114" s="217"/>
      <c r="R114" s="216"/>
      <c r="S114" s="164">
        <f t="shared" si="34"/>
        <v>0.96513733667965795</v>
      </c>
    </row>
    <row r="115" spans="1:19" s="218" customFormat="1" ht="13.5" customHeight="1" thickBot="1">
      <c r="A115" s="559"/>
      <c r="B115" s="227">
        <v>85395</v>
      </c>
      <c r="C115" s="228">
        <v>7353027</v>
      </c>
      <c r="D115" s="213">
        <f>SUM(E115,N115)</f>
        <v>3755101</v>
      </c>
      <c r="E115" s="214">
        <f>SUM(F115,M115,L115,K115,J115,I115)</f>
        <v>3754351</v>
      </c>
      <c r="F115" s="214">
        <f>SUM(G115:H115)</f>
        <v>1822</v>
      </c>
      <c r="G115" s="215"/>
      <c r="H115" s="216">
        <v>1822</v>
      </c>
      <c r="I115" s="214">
        <f>1189245+1703+200+118546</f>
        <v>1309694</v>
      </c>
      <c r="J115" s="213"/>
      <c r="K115" s="214">
        <f>155+27+367273+64813+27375+4831+65825+11617+9583+1691+2889+510+131067+23130+1532+270+385+68+1414614+249638+3076+543+451+80+1972+348+17135+3024+20046+3537+637+112+10383+1832+2366</f>
        <v>2442835</v>
      </c>
      <c r="L115" s="213"/>
      <c r="M115" s="214"/>
      <c r="N115" s="214">
        <f t="shared" si="26"/>
        <v>750</v>
      </c>
      <c r="O115" s="215">
        <v>750</v>
      </c>
      <c r="P115" s="217"/>
      <c r="Q115" s="217"/>
      <c r="R115" s="216"/>
      <c r="S115" s="173">
        <f t="shared" si="34"/>
        <v>0.51068777525228726</v>
      </c>
    </row>
    <row r="116" spans="1:19" s="153" customFormat="1" ht="14.25" customHeight="1" thickBot="1">
      <c r="A116" s="145" t="s">
        <v>314</v>
      </c>
      <c r="B116" s="220"/>
      <c r="C116" s="221">
        <f>SUM(C117:C120)</f>
        <v>13888612</v>
      </c>
      <c r="D116" s="147">
        <f>SUM(D117:D118,D119:D120)</f>
        <v>12395513</v>
      </c>
      <c r="E116" s="148">
        <f t="shared" ref="E116:R116" si="48">SUM(E117:E118,E119:E120)</f>
        <v>12363084</v>
      </c>
      <c r="F116" s="148">
        <f t="shared" si="48"/>
        <v>716758</v>
      </c>
      <c r="G116" s="149">
        <f t="shared" si="48"/>
        <v>624397</v>
      </c>
      <c r="H116" s="150">
        <f t="shared" si="48"/>
        <v>92361</v>
      </c>
      <c r="I116" s="148">
        <f t="shared" si="48"/>
        <v>5041121</v>
      </c>
      <c r="J116" s="147">
        <f t="shared" si="48"/>
        <v>2395</v>
      </c>
      <c r="K116" s="148">
        <f t="shared" si="48"/>
        <v>6602810</v>
      </c>
      <c r="L116" s="147">
        <f t="shared" si="48"/>
        <v>0</v>
      </c>
      <c r="M116" s="148">
        <f t="shared" si="48"/>
        <v>0</v>
      </c>
      <c r="N116" s="148">
        <f t="shared" si="48"/>
        <v>32429</v>
      </c>
      <c r="O116" s="149">
        <f t="shared" si="48"/>
        <v>32429</v>
      </c>
      <c r="P116" s="151">
        <f t="shared" si="48"/>
        <v>27545</v>
      </c>
      <c r="Q116" s="151">
        <f t="shared" si="48"/>
        <v>0</v>
      </c>
      <c r="R116" s="150">
        <f t="shared" si="48"/>
        <v>0</v>
      </c>
      <c r="S116" s="152">
        <f t="shared" si="34"/>
        <v>0.89249472877491287</v>
      </c>
    </row>
    <row r="117" spans="1:19" s="218" customFormat="1">
      <c r="A117" s="551"/>
      <c r="B117" s="222">
        <v>85410</v>
      </c>
      <c r="C117" s="223">
        <v>715317</v>
      </c>
      <c r="D117" s="209">
        <f>SUM(E117,N117)</f>
        <v>711724</v>
      </c>
      <c r="E117" s="210">
        <f>SUM(F117,M117,L117,K117,J117,I117)</f>
        <v>711724</v>
      </c>
      <c r="F117" s="210">
        <f>SUM(G117:H117)</f>
        <v>709329</v>
      </c>
      <c r="G117" s="224">
        <f>494272+38605+85470+6050</f>
        <v>624397</v>
      </c>
      <c r="H117" s="225">
        <f>20717+34431+525+3008+510+25741</f>
        <v>84932</v>
      </c>
      <c r="I117" s="210"/>
      <c r="J117" s="209">
        <v>2395</v>
      </c>
      <c r="K117" s="210"/>
      <c r="L117" s="209"/>
      <c r="M117" s="210"/>
      <c r="N117" s="210">
        <f t="shared" si="26"/>
        <v>0</v>
      </c>
      <c r="O117" s="224"/>
      <c r="P117" s="226"/>
      <c r="Q117" s="226"/>
      <c r="R117" s="225"/>
      <c r="S117" s="164">
        <f t="shared" si="34"/>
        <v>0.99497705213213161</v>
      </c>
    </row>
    <row r="118" spans="1:19" s="218" customFormat="1">
      <c r="A118" s="551"/>
      <c r="B118" s="227">
        <v>85415</v>
      </c>
      <c r="C118" s="228">
        <v>6786070</v>
      </c>
      <c r="D118" s="213">
        <f>SUM(E118,N118)</f>
        <v>6630355</v>
      </c>
      <c r="E118" s="214">
        <f>SUM(F118,M118,L118,K118,J118,I118)</f>
        <v>6602810</v>
      </c>
      <c r="F118" s="214">
        <f>SUM(G118:H118)</f>
        <v>0</v>
      </c>
      <c r="G118" s="215"/>
      <c r="H118" s="216"/>
      <c r="I118" s="214"/>
      <c r="J118" s="213"/>
      <c r="K118" s="214">
        <f>4391100+774900+159912+28220+1929+340+31006+5472+3874+684+940923+166045+15965+2818+51754+9133+14637+2583+1515</f>
        <v>6602810</v>
      </c>
      <c r="L118" s="213"/>
      <c r="M118" s="214"/>
      <c r="N118" s="214">
        <f t="shared" si="26"/>
        <v>27545</v>
      </c>
      <c r="O118" s="215">
        <v>27545</v>
      </c>
      <c r="P118" s="217">
        <f>18816+3321+5408</f>
        <v>27545</v>
      </c>
      <c r="Q118" s="217"/>
      <c r="R118" s="216"/>
      <c r="S118" s="164">
        <f t="shared" si="34"/>
        <v>0.97705372918345967</v>
      </c>
    </row>
    <row r="119" spans="1:19" s="2" customFormat="1">
      <c r="A119" s="551"/>
      <c r="B119" s="166" t="s">
        <v>315</v>
      </c>
      <c r="C119" s="167">
        <v>400000</v>
      </c>
      <c r="D119" s="213">
        <f>SUM(E119,N119)</f>
        <v>400000</v>
      </c>
      <c r="E119" s="214">
        <f>SUM(F119,M119,L119,K119,J119,I119)</f>
        <v>400000</v>
      </c>
      <c r="F119" s="214">
        <f>SUM(G119:H119)</f>
        <v>0</v>
      </c>
      <c r="G119" s="170"/>
      <c r="H119" s="171"/>
      <c r="I119" s="169">
        <v>400000</v>
      </c>
      <c r="J119" s="168"/>
      <c r="K119" s="169"/>
      <c r="L119" s="168"/>
      <c r="M119" s="169"/>
      <c r="N119" s="214">
        <f t="shared" si="26"/>
        <v>0</v>
      </c>
      <c r="O119" s="170"/>
      <c r="P119" s="172"/>
      <c r="Q119" s="172"/>
      <c r="R119" s="171"/>
      <c r="S119" s="164">
        <f t="shared" si="34"/>
        <v>1</v>
      </c>
    </row>
    <row r="120" spans="1:19" s="2" customFormat="1" ht="13.5" thickBot="1">
      <c r="A120" s="551"/>
      <c r="B120" s="188" t="s">
        <v>316</v>
      </c>
      <c r="C120" s="189">
        <v>5987225</v>
      </c>
      <c r="D120" s="231">
        <f>SUM(E120,N120)</f>
        <v>4653434</v>
      </c>
      <c r="E120" s="232">
        <f>SUM(F120,M120,L120,K120,J120,I120)</f>
        <v>4648550</v>
      </c>
      <c r="F120" s="232">
        <f>SUM(G120:H120)</f>
        <v>7429</v>
      </c>
      <c r="G120" s="192"/>
      <c r="H120" s="193">
        <f>7410+19</f>
        <v>7429</v>
      </c>
      <c r="I120" s="191">
        <f>4592899+4547+43675</f>
        <v>4641121</v>
      </c>
      <c r="J120" s="190"/>
      <c r="K120" s="191"/>
      <c r="L120" s="190"/>
      <c r="M120" s="191"/>
      <c r="N120" s="232">
        <f t="shared" si="26"/>
        <v>4884</v>
      </c>
      <c r="O120" s="192">
        <f>4884</f>
        <v>4884</v>
      </c>
      <c r="P120" s="194"/>
      <c r="Q120" s="194"/>
      <c r="R120" s="193"/>
      <c r="S120" s="173">
        <f t="shared" si="34"/>
        <v>0.77722717953642961</v>
      </c>
    </row>
    <row r="121" spans="1:19" s="153" customFormat="1" ht="13.5" thickBot="1">
      <c r="A121" s="145" t="s">
        <v>317</v>
      </c>
      <c r="B121" s="145"/>
      <c r="C121" s="146">
        <f>SUM(C122:C127)</f>
        <v>3469773</v>
      </c>
      <c r="D121" s="147">
        <f>SUM(D122:D127)</f>
        <v>3404979</v>
      </c>
      <c r="E121" s="148">
        <f t="shared" ref="E121:R121" si="49">SUM(E122:E127)</f>
        <v>694574</v>
      </c>
      <c r="F121" s="148">
        <f t="shared" si="49"/>
        <v>694574</v>
      </c>
      <c r="G121" s="149">
        <f t="shared" si="49"/>
        <v>41983</v>
      </c>
      <c r="H121" s="150">
        <f t="shared" si="49"/>
        <v>652591</v>
      </c>
      <c r="I121" s="148">
        <f t="shared" si="49"/>
        <v>0</v>
      </c>
      <c r="J121" s="147">
        <f t="shared" si="49"/>
        <v>0</v>
      </c>
      <c r="K121" s="148">
        <f t="shared" si="49"/>
        <v>0</v>
      </c>
      <c r="L121" s="147">
        <f t="shared" si="49"/>
        <v>0</v>
      </c>
      <c r="M121" s="148">
        <f t="shared" si="49"/>
        <v>0</v>
      </c>
      <c r="N121" s="148">
        <f t="shared" si="49"/>
        <v>2710405</v>
      </c>
      <c r="O121" s="149">
        <f t="shared" si="49"/>
        <v>2710405</v>
      </c>
      <c r="P121" s="151">
        <f t="shared" si="49"/>
        <v>0</v>
      </c>
      <c r="Q121" s="151">
        <f t="shared" si="49"/>
        <v>0</v>
      </c>
      <c r="R121" s="150">
        <f t="shared" si="49"/>
        <v>0</v>
      </c>
      <c r="S121" s="152">
        <f t="shared" si="34"/>
        <v>0.98132615591855721</v>
      </c>
    </row>
    <row r="122" spans="1:19" s="2" customFormat="1">
      <c r="A122" s="552"/>
      <c r="B122" s="195" t="s">
        <v>318</v>
      </c>
      <c r="C122" s="196">
        <v>2730788</v>
      </c>
      <c r="D122" s="156">
        <f t="shared" ref="D122:D127" si="50">SUM(E122,N122)</f>
        <v>2730786</v>
      </c>
      <c r="E122" s="157">
        <f t="shared" ref="E122:E127" si="51">SUM(F122,M122,L122,K122,J122,I122)</f>
        <v>20381</v>
      </c>
      <c r="F122" s="157">
        <f t="shared" ref="F122:F127" si="52">SUM(G122:H122)</f>
        <v>20381</v>
      </c>
      <c r="G122" s="197"/>
      <c r="H122" s="198">
        <v>20381</v>
      </c>
      <c r="I122" s="157"/>
      <c r="J122" s="156"/>
      <c r="K122" s="157"/>
      <c r="L122" s="156"/>
      <c r="M122" s="157"/>
      <c r="N122" s="157">
        <f t="shared" si="26"/>
        <v>2710405</v>
      </c>
      <c r="O122" s="197">
        <f>2636676+73729</f>
        <v>2710405</v>
      </c>
      <c r="P122" s="199"/>
      <c r="Q122" s="199"/>
      <c r="R122" s="198"/>
      <c r="S122" s="164">
        <f t="shared" si="34"/>
        <v>0.99999926761066771</v>
      </c>
    </row>
    <row r="123" spans="1:19" s="2" customFormat="1">
      <c r="A123" s="553"/>
      <c r="B123" s="166" t="s">
        <v>319</v>
      </c>
      <c r="C123" s="167">
        <v>547984</v>
      </c>
      <c r="D123" s="168">
        <f t="shared" si="50"/>
        <v>540840</v>
      </c>
      <c r="E123" s="169">
        <f t="shared" si="51"/>
        <v>540840</v>
      </c>
      <c r="F123" s="169">
        <f t="shared" si="52"/>
        <v>540840</v>
      </c>
      <c r="G123" s="170">
        <f>10797+1856+124</f>
        <v>12777</v>
      </c>
      <c r="H123" s="171">
        <f>1910+830+484023+40000+1300</f>
        <v>528063</v>
      </c>
      <c r="I123" s="169"/>
      <c r="J123" s="168"/>
      <c r="K123" s="169"/>
      <c r="L123" s="168"/>
      <c r="M123" s="169"/>
      <c r="N123" s="169">
        <f t="shared" si="26"/>
        <v>0</v>
      </c>
      <c r="O123" s="170"/>
      <c r="P123" s="172"/>
      <c r="Q123" s="172"/>
      <c r="R123" s="171"/>
      <c r="S123" s="164">
        <f t="shared" si="34"/>
        <v>0.98696312301089084</v>
      </c>
    </row>
    <row r="124" spans="1:19" s="2" customFormat="1">
      <c r="A124" s="553"/>
      <c r="B124" s="166" t="s">
        <v>320</v>
      </c>
      <c r="C124" s="167">
        <v>39242</v>
      </c>
      <c r="D124" s="168">
        <f t="shared" si="50"/>
        <v>12568</v>
      </c>
      <c r="E124" s="169">
        <f t="shared" si="51"/>
        <v>12568</v>
      </c>
      <c r="F124" s="169">
        <f t="shared" si="52"/>
        <v>12568</v>
      </c>
      <c r="G124" s="170">
        <f>10647+1660+261</f>
        <v>12568</v>
      </c>
      <c r="H124" s="171"/>
      <c r="I124" s="169"/>
      <c r="J124" s="168"/>
      <c r="K124" s="169"/>
      <c r="L124" s="168"/>
      <c r="M124" s="169"/>
      <c r="N124" s="169">
        <f t="shared" si="26"/>
        <v>0</v>
      </c>
      <c r="O124" s="170"/>
      <c r="P124" s="172"/>
      <c r="Q124" s="172"/>
      <c r="R124" s="171"/>
      <c r="S124" s="164">
        <f t="shared" si="34"/>
        <v>0.32026909943427961</v>
      </c>
    </row>
    <row r="125" spans="1:19" s="2" customFormat="1">
      <c r="A125" s="553"/>
      <c r="B125" s="166" t="s">
        <v>321</v>
      </c>
      <c r="C125" s="167">
        <v>10138</v>
      </c>
      <c r="D125" s="168">
        <f t="shared" si="50"/>
        <v>10138</v>
      </c>
      <c r="E125" s="169">
        <f t="shared" si="51"/>
        <v>10138</v>
      </c>
      <c r="F125" s="169">
        <f t="shared" si="52"/>
        <v>10138</v>
      </c>
      <c r="G125" s="170">
        <f>8616+1311+211</f>
        <v>10138</v>
      </c>
      <c r="H125" s="171"/>
      <c r="I125" s="169"/>
      <c r="J125" s="168"/>
      <c r="K125" s="169"/>
      <c r="L125" s="168"/>
      <c r="M125" s="169"/>
      <c r="N125" s="169">
        <f t="shared" si="26"/>
        <v>0</v>
      </c>
      <c r="O125" s="170"/>
      <c r="P125" s="172"/>
      <c r="Q125" s="172"/>
      <c r="R125" s="171"/>
      <c r="S125" s="164">
        <f t="shared" si="34"/>
        <v>1</v>
      </c>
    </row>
    <row r="126" spans="1:19" s="2" customFormat="1">
      <c r="A126" s="554"/>
      <c r="B126" s="286" t="s">
        <v>376</v>
      </c>
      <c r="C126" s="189">
        <v>1373</v>
      </c>
      <c r="D126" s="168">
        <f t="shared" si="50"/>
        <v>0</v>
      </c>
      <c r="E126" s="169">
        <f t="shared" si="51"/>
        <v>0</v>
      </c>
      <c r="F126" s="169">
        <f t="shared" si="52"/>
        <v>0</v>
      </c>
      <c r="G126" s="192"/>
      <c r="H126" s="193">
        <v>0</v>
      </c>
      <c r="I126" s="191"/>
      <c r="J126" s="190"/>
      <c r="K126" s="191"/>
      <c r="L126" s="190"/>
      <c r="M126" s="191"/>
      <c r="N126" s="169">
        <f t="shared" si="26"/>
        <v>0</v>
      </c>
      <c r="O126" s="192"/>
      <c r="P126" s="194"/>
      <c r="Q126" s="194"/>
      <c r="R126" s="193"/>
      <c r="S126" s="164">
        <f t="shared" si="34"/>
        <v>0</v>
      </c>
    </row>
    <row r="127" spans="1:19" s="2" customFormat="1" ht="13.5" thickBot="1">
      <c r="A127" s="554"/>
      <c r="B127" s="188" t="s">
        <v>322</v>
      </c>
      <c r="C127" s="189">
        <v>140248</v>
      </c>
      <c r="D127" s="190">
        <f t="shared" si="50"/>
        <v>110647</v>
      </c>
      <c r="E127" s="191">
        <f t="shared" si="51"/>
        <v>110647</v>
      </c>
      <c r="F127" s="191">
        <f t="shared" si="52"/>
        <v>110647</v>
      </c>
      <c r="G127" s="192">
        <v>6500</v>
      </c>
      <c r="H127" s="193">
        <f>38457+65690</f>
        <v>104147</v>
      </c>
      <c r="I127" s="191"/>
      <c r="J127" s="190"/>
      <c r="K127" s="191"/>
      <c r="L127" s="190"/>
      <c r="M127" s="191"/>
      <c r="N127" s="191">
        <f t="shared" si="26"/>
        <v>0</v>
      </c>
      <c r="O127" s="192"/>
      <c r="P127" s="194"/>
      <c r="Q127" s="194"/>
      <c r="R127" s="193"/>
      <c r="S127" s="173">
        <f t="shared" si="34"/>
        <v>0.78893816667617367</v>
      </c>
    </row>
    <row r="128" spans="1:19" s="153" customFormat="1" ht="13.5" thickBot="1">
      <c r="A128" s="145" t="s">
        <v>323</v>
      </c>
      <c r="B128" s="145"/>
      <c r="C128" s="146">
        <f>SUM(C129:C138)</f>
        <v>61938961</v>
      </c>
      <c r="D128" s="147">
        <f t="shared" ref="D128:R128" si="53">SUM(D129:D137,D138)</f>
        <v>58334501</v>
      </c>
      <c r="E128" s="148">
        <f t="shared" si="53"/>
        <v>50282643</v>
      </c>
      <c r="F128" s="148">
        <f t="shared" si="53"/>
        <v>40437</v>
      </c>
      <c r="G128" s="149">
        <f t="shared" si="53"/>
        <v>0</v>
      </c>
      <c r="H128" s="150">
        <f t="shared" si="53"/>
        <v>40437</v>
      </c>
      <c r="I128" s="148">
        <f t="shared" si="53"/>
        <v>50063206</v>
      </c>
      <c r="J128" s="147">
        <f t="shared" si="53"/>
        <v>179000</v>
      </c>
      <c r="K128" s="148">
        <f t="shared" si="53"/>
        <v>0</v>
      </c>
      <c r="L128" s="147">
        <f t="shared" si="53"/>
        <v>0</v>
      </c>
      <c r="M128" s="148">
        <f t="shared" si="53"/>
        <v>0</v>
      </c>
      <c r="N128" s="148">
        <f t="shared" si="53"/>
        <v>8051858</v>
      </c>
      <c r="O128" s="149">
        <f t="shared" si="53"/>
        <v>8051858</v>
      </c>
      <c r="P128" s="151">
        <f t="shared" si="53"/>
        <v>0</v>
      </c>
      <c r="Q128" s="151">
        <f t="shared" si="53"/>
        <v>0</v>
      </c>
      <c r="R128" s="150">
        <f t="shared" si="53"/>
        <v>0</v>
      </c>
      <c r="S128" s="152">
        <f t="shared" si="34"/>
        <v>0.94180625664676554</v>
      </c>
    </row>
    <row r="129" spans="1:19" s="2" customFormat="1">
      <c r="A129" s="552"/>
      <c r="B129" s="195" t="s">
        <v>324</v>
      </c>
      <c r="C129" s="196">
        <v>1049000</v>
      </c>
      <c r="D129" s="156">
        <f t="shared" ref="D129:D138" si="54">SUM(E129,N129)</f>
        <v>1039637</v>
      </c>
      <c r="E129" s="157">
        <f t="shared" ref="E129:E138" si="55">SUM(F129,M129,L129,K129,J129,I129)</f>
        <v>1039637</v>
      </c>
      <c r="F129" s="157">
        <f t="shared" ref="F129:F138" si="56">SUM(G129:H129)</f>
        <v>0</v>
      </c>
      <c r="G129" s="197"/>
      <c r="H129" s="198"/>
      <c r="I129" s="157">
        <v>860637</v>
      </c>
      <c r="J129" s="156">
        <v>179000</v>
      </c>
      <c r="K129" s="157"/>
      <c r="L129" s="156"/>
      <c r="M129" s="157"/>
      <c r="N129" s="157">
        <f t="shared" ref="N129:N138" si="57">SUM(O129,Q129,R129)</f>
        <v>0</v>
      </c>
      <c r="O129" s="197"/>
      <c r="P129" s="199"/>
      <c r="Q129" s="199"/>
      <c r="R129" s="198"/>
      <c r="S129" s="164">
        <f t="shared" si="34"/>
        <v>0.99107435653002862</v>
      </c>
    </row>
    <row r="130" spans="1:19" s="2" customFormat="1">
      <c r="A130" s="553"/>
      <c r="B130" s="166" t="s">
        <v>325</v>
      </c>
      <c r="C130" s="167">
        <v>4362000</v>
      </c>
      <c r="D130" s="168">
        <f t="shared" si="54"/>
        <v>4350826</v>
      </c>
      <c r="E130" s="169">
        <f t="shared" si="55"/>
        <v>4294860</v>
      </c>
      <c r="F130" s="169">
        <f t="shared" si="56"/>
        <v>0</v>
      </c>
      <c r="G130" s="170"/>
      <c r="H130" s="171"/>
      <c r="I130" s="169">
        <f>4254860+40000</f>
        <v>4294860</v>
      </c>
      <c r="J130" s="168"/>
      <c r="K130" s="169"/>
      <c r="L130" s="168"/>
      <c r="M130" s="169"/>
      <c r="N130" s="169">
        <f t="shared" si="57"/>
        <v>55966</v>
      </c>
      <c r="O130" s="170">
        <v>55966</v>
      </c>
      <c r="P130" s="172"/>
      <c r="Q130" s="172"/>
      <c r="R130" s="171"/>
      <c r="S130" s="164">
        <f t="shared" si="34"/>
        <v>0.99743833104080692</v>
      </c>
    </row>
    <row r="131" spans="1:19" s="2" customFormat="1">
      <c r="A131" s="553"/>
      <c r="B131" s="166" t="s">
        <v>326</v>
      </c>
      <c r="C131" s="167">
        <v>9007184</v>
      </c>
      <c r="D131" s="168">
        <f t="shared" si="54"/>
        <v>9007160</v>
      </c>
      <c r="E131" s="169">
        <f t="shared" si="55"/>
        <v>8782184</v>
      </c>
      <c r="F131" s="169">
        <f t="shared" si="56"/>
        <v>0</v>
      </c>
      <c r="G131" s="170"/>
      <c r="H131" s="171"/>
      <c r="I131" s="169">
        <f>8467184+315000</f>
        <v>8782184</v>
      </c>
      <c r="J131" s="168"/>
      <c r="K131" s="169"/>
      <c r="L131" s="168"/>
      <c r="M131" s="169"/>
      <c r="N131" s="169">
        <f t="shared" si="57"/>
        <v>224976</v>
      </c>
      <c r="O131" s="170">
        <v>224976</v>
      </c>
      <c r="P131" s="172"/>
      <c r="Q131" s="172"/>
      <c r="R131" s="171"/>
      <c r="S131" s="164">
        <f t="shared" si="34"/>
        <v>0.99999733546022818</v>
      </c>
    </row>
    <row r="132" spans="1:19" s="2" customFormat="1">
      <c r="A132" s="553"/>
      <c r="B132" s="166" t="s">
        <v>327</v>
      </c>
      <c r="C132" s="167">
        <v>5343333</v>
      </c>
      <c r="D132" s="168">
        <f t="shared" si="54"/>
        <v>5343333</v>
      </c>
      <c r="E132" s="169">
        <f t="shared" si="55"/>
        <v>4724000</v>
      </c>
      <c r="F132" s="169">
        <f t="shared" si="56"/>
        <v>0</v>
      </c>
      <c r="G132" s="170"/>
      <c r="H132" s="171"/>
      <c r="I132" s="169">
        <f>4573999+150001</f>
        <v>4724000</v>
      </c>
      <c r="J132" s="168"/>
      <c r="K132" s="169"/>
      <c r="L132" s="168"/>
      <c r="M132" s="169"/>
      <c r="N132" s="169">
        <f t="shared" si="57"/>
        <v>619333</v>
      </c>
      <c r="O132" s="170">
        <f>607333+12000</f>
        <v>619333</v>
      </c>
      <c r="P132" s="172"/>
      <c r="Q132" s="172"/>
      <c r="R132" s="171"/>
      <c r="S132" s="164">
        <f t="shared" si="34"/>
        <v>1</v>
      </c>
    </row>
    <row r="133" spans="1:19" s="2" customFormat="1">
      <c r="A133" s="553"/>
      <c r="B133" s="166" t="s">
        <v>328</v>
      </c>
      <c r="C133" s="167">
        <v>430000</v>
      </c>
      <c r="D133" s="168">
        <f t="shared" si="54"/>
        <v>430000</v>
      </c>
      <c r="E133" s="169">
        <f t="shared" si="55"/>
        <v>430000</v>
      </c>
      <c r="F133" s="169">
        <f t="shared" si="56"/>
        <v>0</v>
      </c>
      <c r="G133" s="170"/>
      <c r="H133" s="171"/>
      <c r="I133" s="169">
        <v>430000</v>
      </c>
      <c r="J133" s="168"/>
      <c r="K133" s="169"/>
      <c r="L133" s="168"/>
      <c r="M133" s="169"/>
      <c r="N133" s="169">
        <f t="shared" si="57"/>
        <v>0</v>
      </c>
      <c r="O133" s="170"/>
      <c r="P133" s="172"/>
      <c r="Q133" s="172"/>
      <c r="R133" s="171"/>
      <c r="S133" s="164">
        <f t="shared" si="34"/>
        <v>1</v>
      </c>
    </row>
    <row r="134" spans="1:19" s="2" customFormat="1">
      <c r="A134" s="553"/>
      <c r="B134" s="166" t="s">
        <v>329</v>
      </c>
      <c r="C134" s="167">
        <v>1500000</v>
      </c>
      <c r="D134" s="168">
        <f t="shared" si="54"/>
        <v>1500000</v>
      </c>
      <c r="E134" s="169">
        <f t="shared" si="55"/>
        <v>1445819</v>
      </c>
      <c r="F134" s="169">
        <f t="shared" si="56"/>
        <v>0</v>
      </c>
      <c r="G134" s="170"/>
      <c r="H134" s="171"/>
      <c r="I134" s="169">
        <f>1288819+157000</f>
        <v>1445819</v>
      </c>
      <c r="J134" s="168"/>
      <c r="K134" s="169"/>
      <c r="L134" s="168"/>
      <c r="M134" s="169"/>
      <c r="N134" s="169">
        <f t="shared" si="57"/>
        <v>54181</v>
      </c>
      <c r="O134" s="170">
        <v>54181</v>
      </c>
      <c r="P134" s="172"/>
      <c r="Q134" s="172"/>
      <c r="R134" s="171"/>
      <c r="S134" s="164">
        <f t="shared" si="34"/>
        <v>1</v>
      </c>
    </row>
    <row r="135" spans="1:19" s="2" customFormat="1">
      <c r="A135" s="553"/>
      <c r="B135" s="166" t="s">
        <v>330</v>
      </c>
      <c r="C135" s="167">
        <v>7217221</v>
      </c>
      <c r="D135" s="168">
        <f t="shared" si="54"/>
        <v>7198748</v>
      </c>
      <c r="E135" s="169">
        <f t="shared" si="55"/>
        <v>6882053</v>
      </c>
      <c r="F135" s="169">
        <f t="shared" si="56"/>
        <v>0</v>
      </c>
      <c r="G135" s="170"/>
      <c r="H135" s="171"/>
      <c r="I135" s="169">
        <v>6882053</v>
      </c>
      <c r="J135" s="168"/>
      <c r="K135" s="169"/>
      <c r="L135" s="168"/>
      <c r="M135" s="169"/>
      <c r="N135" s="169">
        <f t="shared" si="57"/>
        <v>316695</v>
      </c>
      <c r="O135" s="170">
        <f>256695+60000</f>
        <v>316695</v>
      </c>
      <c r="P135" s="172"/>
      <c r="Q135" s="172"/>
      <c r="R135" s="171"/>
      <c r="S135" s="164">
        <f t="shared" si="34"/>
        <v>0.99744042755514895</v>
      </c>
    </row>
    <row r="136" spans="1:19" s="2" customFormat="1">
      <c r="A136" s="553"/>
      <c r="B136" s="166" t="s">
        <v>331</v>
      </c>
      <c r="C136" s="167">
        <v>21194238</v>
      </c>
      <c r="D136" s="168">
        <f t="shared" si="54"/>
        <v>21129985</v>
      </c>
      <c r="E136" s="169">
        <f t="shared" si="55"/>
        <v>19810650</v>
      </c>
      <c r="F136" s="169">
        <f t="shared" si="56"/>
        <v>0</v>
      </c>
      <c r="G136" s="170"/>
      <c r="H136" s="171"/>
      <c r="I136" s="169">
        <f>19148699+600000+61951</f>
        <v>19810650</v>
      </c>
      <c r="J136" s="168"/>
      <c r="K136" s="169"/>
      <c r="L136" s="168"/>
      <c r="M136" s="169"/>
      <c r="N136" s="169">
        <f t="shared" si="57"/>
        <v>1319335</v>
      </c>
      <c r="O136" s="170">
        <v>1319335</v>
      </c>
      <c r="P136" s="172"/>
      <c r="Q136" s="172"/>
      <c r="R136" s="171"/>
      <c r="S136" s="164">
        <f t="shared" si="34"/>
        <v>0.99696837414017903</v>
      </c>
    </row>
    <row r="137" spans="1:19" s="2" customFormat="1" ht="14.25" customHeight="1">
      <c r="A137" s="553"/>
      <c r="B137" s="166" t="s">
        <v>332</v>
      </c>
      <c r="C137" s="167">
        <v>7015143</v>
      </c>
      <c r="D137" s="168">
        <f t="shared" si="54"/>
        <v>6029351</v>
      </c>
      <c r="E137" s="169">
        <f t="shared" si="55"/>
        <v>2818034</v>
      </c>
      <c r="F137" s="169">
        <f t="shared" si="56"/>
        <v>34</v>
      </c>
      <c r="G137" s="170"/>
      <c r="H137" s="171">
        <v>34</v>
      </c>
      <c r="I137" s="169">
        <f>2523000+295000</f>
        <v>2818000</v>
      </c>
      <c r="J137" s="168"/>
      <c r="K137" s="169"/>
      <c r="L137" s="168"/>
      <c r="M137" s="169"/>
      <c r="N137" s="169">
        <f t="shared" si="57"/>
        <v>3211317</v>
      </c>
      <c r="O137" s="170">
        <f>3211153+164</f>
        <v>3211317</v>
      </c>
      <c r="P137" s="172"/>
      <c r="Q137" s="172"/>
      <c r="R137" s="171"/>
      <c r="S137" s="164">
        <f t="shared" si="34"/>
        <v>0.8594765637706886</v>
      </c>
    </row>
    <row r="138" spans="1:19" s="2" customFormat="1" ht="14.25" customHeight="1" thickBot="1">
      <c r="A138" s="553"/>
      <c r="B138" s="181" t="s">
        <v>333</v>
      </c>
      <c r="C138" s="182">
        <v>4820842</v>
      </c>
      <c r="D138" s="168">
        <f t="shared" si="54"/>
        <v>2305461</v>
      </c>
      <c r="E138" s="169">
        <f t="shared" si="55"/>
        <v>55406</v>
      </c>
      <c r="F138" s="169">
        <f t="shared" si="56"/>
        <v>40403</v>
      </c>
      <c r="G138" s="183"/>
      <c r="H138" s="184">
        <f>4085+35730+588</f>
        <v>40403</v>
      </c>
      <c r="I138" s="185">
        <v>15003</v>
      </c>
      <c r="J138" s="186"/>
      <c r="K138" s="185"/>
      <c r="L138" s="186"/>
      <c r="M138" s="185"/>
      <c r="N138" s="169">
        <f t="shared" si="57"/>
        <v>2250055</v>
      </c>
      <c r="O138" s="183">
        <f>2250020+35</f>
        <v>2250055</v>
      </c>
      <c r="P138" s="187"/>
      <c r="Q138" s="187"/>
      <c r="R138" s="184"/>
      <c r="S138" s="173">
        <f t="shared" si="34"/>
        <v>0.47822786973727827</v>
      </c>
    </row>
    <row r="139" spans="1:19" s="153" customFormat="1" ht="13.5" thickBot="1">
      <c r="A139" s="145" t="s">
        <v>334</v>
      </c>
      <c r="B139" s="145"/>
      <c r="C139" s="146">
        <f>SUM(C140)</f>
        <v>1151827</v>
      </c>
      <c r="D139" s="147">
        <f>SUM(D140)</f>
        <v>1149962</v>
      </c>
      <c r="E139" s="148">
        <f t="shared" ref="E139:R139" si="58">SUM(E140)</f>
        <v>1033962</v>
      </c>
      <c r="F139" s="148">
        <f t="shared" si="58"/>
        <v>1007361</v>
      </c>
      <c r="G139" s="149">
        <f t="shared" si="58"/>
        <v>576919</v>
      </c>
      <c r="H139" s="150">
        <f t="shared" si="58"/>
        <v>430442</v>
      </c>
      <c r="I139" s="148">
        <f t="shared" si="58"/>
        <v>0</v>
      </c>
      <c r="J139" s="147">
        <f t="shared" si="58"/>
        <v>26601</v>
      </c>
      <c r="K139" s="148">
        <f t="shared" si="58"/>
        <v>0</v>
      </c>
      <c r="L139" s="147">
        <f t="shared" si="58"/>
        <v>0</v>
      </c>
      <c r="M139" s="148">
        <f t="shared" si="58"/>
        <v>0</v>
      </c>
      <c r="N139" s="148">
        <f t="shared" si="58"/>
        <v>116000</v>
      </c>
      <c r="O139" s="149">
        <f>SUM(O140)</f>
        <v>116000</v>
      </c>
      <c r="P139" s="151">
        <f t="shared" si="58"/>
        <v>0</v>
      </c>
      <c r="Q139" s="151">
        <f t="shared" si="58"/>
        <v>0</v>
      </c>
      <c r="R139" s="150">
        <f t="shared" si="58"/>
        <v>0</v>
      </c>
      <c r="S139" s="152">
        <f t="shared" si="34"/>
        <v>0.99838083323276849</v>
      </c>
    </row>
    <row r="140" spans="1:19" s="2" customFormat="1" ht="13.5" thickBot="1">
      <c r="A140" s="174"/>
      <c r="B140" s="174" t="s">
        <v>335</v>
      </c>
      <c r="C140" s="175">
        <v>1151827</v>
      </c>
      <c r="D140" s="176">
        <f>SUM(E140,N140)</f>
        <v>1149962</v>
      </c>
      <c r="E140" s="177">
        <f>SUM(F140,M140,L140,K140,J140,I140)</f>
        <v>1033962</v>
      </c>
      <c r="F140" s="177">
        <f>SUM(G140:H140)</f>
        <v>1007361</v>
      </c>
      <c r="G140" s="178">
        <f>447666+28803+81778+8394+10278</f>
        <v>576919</v>
      </c>
      <c r="H140" s="179">
        <f>116763+3999+17250+68499+965+101680+1476+4984+4794+79225+6436+7805+13007+598+2961</f>
        <v>430442</v>
      </c>
      <c r="I140" s="177"/>
      <c r="J140" s="176">
        <v>26601</v>
      </c>
      <c r="K140" s="177"/>
      <c r="L140" s="176"/>
      <c r="M140" s="177"/>
      <c r="N140" s="177">
        <f>SUM(O140,Q140,R140)</f>
        <v>116000</v>
      </c>
      <c r="O140" s="178">
        <v>116000</v>
      </c>
      <c r="P140" s="180"/>
      <c r="Q140" s="180"/>
      <c r="R140" s="179"/>
      <c r="S140" s="173">
        <f t="shared" ref="S140:S145" si="59">D140/C140</f>
        <v>0.99838083323276849</v>
      </c>
    </row>
    <row r="141" spans="1:19" s="153" customFormat="1" ht="13.5" thickBot="1">
      <c r="A141" s="145" t="s">
        <v>336</v>
      </c>
      <c r="B141" s="145"/>
      <c r="C141" s="146">
        <f>SUM(C142:C144)</f>
        <v>19133597</v>
      </c>
      <c r="D141" s="147">
        <f>SUM(D142:D144)</f>
        <v>19066024</v>
      </c>
      <c r="E141" s="148">
        <f t="shared" ref="E141:R141" si="60">SUM(E142:E144)</f>
        <v>5469385</v>
      </c>
      <c r="F141" s="148">
        <f t="shared" si="60"/>
        <v>47936</v>
      </c>
      <c r="G141" s="149">
        <f t="shared" si="60"/>
        <v>6704</v>
      </c>
      <c r="H141" s="150">
        <f t="shared" si="60"/>
        <v>41232</v>
      </c>
      <c r="I141" s="148">
        <f t="shared" si="60"/>
        <v>4652999</v>
      </c>
      <c r="J141" s="147">
        <f t="shared" si="60"/>
        <v>768450</v>
      </c>
      <c r="K141" s="148">
        <f t="shared" si="60"/>
        <v>0</v>
      </c>
      <c r="L141" s="147">
        <f t="shared" si="60"/>
        <v>0</v>
      </c>
      <c r="M141" s="148">
        <f t="shared" si="60"/>
        <v>0</v>
      </c>
      <c r="N141" s="148">
        <f t="shared" si="60"/>
        <v>13596639</v>
      </c>
      <c r="O141" s="149">
        <f>SUM(O142:O144)</f>
        <v>13596639</v>
      </c>
      <c r="P141" s="151">
        <f t="shared" si="60"/>
        <v>0</v>
      </c>
      <c r="Q141" s="151">
        <f t="shared" si="60"/>
        <v>0</v>
      </c>
      <c r="R141" s="150">
        <f t="shared" si="60"/>
        <v>0</v>
      </c>
      <c r="S141" s="152">
        <f t="shared" si="59"/>
        <v>0.99646835877226847</v>
      </c>
    </row>
    <row r="142" spans="1:19" s="2" customFormat="1">
      <c r="A142" s="531"/>
      <c r="B142" s="195" t="s">
        <v>337</v>
      </c>
      <c r="C142" s="196">
        <v>14295419</v>
      </c>
      <c r="D142" s="156">
        <f>SUM(E142,N142)</f>
        <v>14265130</v>
      </c>
      <c r="E142" s="160">
        <f>SUM(F142,M142,L142,K142,J142,I142)</f>
        <v>668491</v>
      </c>
      <c r="F142" s="157">
        <f>SUM(G142:H142)</f>
        <v>0</v>
      </c>
      <c r="G142" s="197"/>
      <c r="H142" s="198"/>
      <c r="I142" s="157">
        <v>668491</v>
      </c>
      <c r="J142" s="156"/>
      <c r="K142" s="157"/>
      <c r="L142" s="156"/>
      <c r="M142" s="157"/>
      <c r="N142" s="157">
        <f>SUM(O142,Q142,R142)</f>
        <v>13596639</v>
      </c>
      <c r="O142" s="197">
        <v>13596639</v>
      </c>
      <c r="P142" s="199"/>
      <c r="Q142" s="199"/>
      <c r="R142" s="198"/>
      <c r="S142" s="164">
        <f t="shared" si="59"/>
        <v>0.99788120935804681</v>
      </c>
    </row>
    <row r="143" spans="1:19" s="2" customFormat="1">
      <c r="A143" s="531"/>
      <c r="B143" s="285" t="s">
        <v>338</v>
      </c>
      <c r="C143" s="175">
        <v>4810000</v>
      </c>
      <c r="D143" s="156">
        <f>SUM(E143,N143)</f>
        <v>4800894</v>
      </c>
      <c r="E143" s="160">
        <f>SUM(F143,M143,L143,K143,J143,I143)</f>
        <v>4800894</v>
      </c>
      <c r="F143" s="157">
        <f>SUM(G143:H143)</f>
        <v>47936</v>
      </c>
      <c r="G143" s="178">
        <f>6429+275</f>
        <v>6704</v>
      </c>
      <c r="H143" s="179">
        <f>39578+1654</f>
        <v>41232</v>
      </c>
      <c r="I143" s="177">
        <f>281260+3703248</f>
        <v>3984508</v>
      </c>
      <c r="J143" s="176">
        <f>217750+550700</f>
        <v>768450</v>
      </c>
      <c r="K143" s="177"/>
      <c r="L143" s="176"/>
      <c r="M143" s="177"/>
      <c r="N143" s="157">
        <f>SUM(O143,Q143,R143)</f>
        <v>0</v>
      </c>
      <c r="O143" s="178"/>
      <c r="P143" s="180"/>
      <c r="Q143" s="180"/>
      <c r="R143" s="179"/>
      <c r="S143" s="164">
        <f t="shared" si="59"/>
        <v>0.99810686070686072</v>
      </c>
    </row>
    <row r="144" spans="1:19" s="2" customFormat="1" ht="13.5" thickBot="1">
      <c r="A144" s="556"/>
      <c r="B144" s="202" t="s">
        <v>377</v>
      </c>
      <c r="C144" s="189">
        <v>28178</v>
      </c>
      <c r="D144" s="190">
        <f>SUM(E144,N144)</f>
        <v>0</v>
      </c>
      <c r="E144" s="191">
        <f>SUM(F144,M144,L144,K144,J144,I144)</f>
        <v>0</v>
      </c>
      <c r="F144" s="191">
        <f>SUM(G144:H144)</f>
        <v>0</v>
      </c>
      <c r="G144" s="192"/>
      <c r="H144" s="193"/>
      <c r="I144" s="191"/>
      <c r="J144" s="190"/>
      <c r="K144" s="191"/>
      <c r="L144" s="190"/>
      <c r="M144" s="191"/>
      <c r="N144" s="191">
        <f>SUM(O144,Q144,R144)</f>
        <v>0</v>
      </c>
      <c r="O144" s="192">
        <v>0</v>
      </c>
      <c r="P144" s="194"/>
      <c r="Q144" s="194"/>
      <c r="R144" s="193"/>
      <c r="S144" s="173">
        <f t="shared" si="59"/>
        <v>0</v>
      </c>
    </row>
    <row r="145" spans="1:19" s="153" customFormat="1" ht="18.75" customHeight="1" thickBot="1">
      <c r="A145" s="565" t="s">
        <v>28</v>
      </c>
      <c r="B145" s="566"/>
      <c r="C145" s="243">
        <f>SUM(C8,C18,C20,C24,C28,C30,C40,C43,C45,C52,C54,C56,C64,C66,C71,C73,C75,C87,C91,C102,C112,C116,C121,C128,C139,C141)</f>
        <v>992858720</v>
      </c>
      <c r="D145" s="244">
        <f>SUM(E145,N145)</f>
        <v>891000574</v>
      </c>
      <c r="E145" s="245">
        <f t="shared" ref="E145:N145" si="61">SUM(E141,E8,E18,E20,E24,E28,E30,E40,E43,E45,E52,E54,E56,E71,E73,E75,E87,E91,E102,E112,E116,E121,E128,E139,E66,E64)</f>
        <v>529232463</v>
      </c>
      <c r="F145" s="245">
        <f t="shared" si="61"/>
        <v>283357726</v>
      </c>
      <c r="G145" s="246">
        <f t="shared" si="61"/>
        <v>123432845</v>
      </c>
      <c r="H145" s="247">
        <f t="shared" si="61"/>
        <v>159924881</v>
      </c>
      <c r="I145" s="245">
        <f t="shared" si="61"/>
        <v>148152763</v>
      </c>
      <c r="J145" s="244">
        <f t="shared" si="61"/>
        <v>3078068</v>
      </c>
      <c r="K145" s="245">
        <f t="shared" si="61"/>
        <v>76530212</v>
      </c>
      <c r="L145" s="245">
        <f t="shared" si="61"/>
        <v>0</v>
      </c>
      <c r="M145" s="244">
        <f t="shared" si="61"/>
        <v>18113694</v>
      </c>
      <c r="N145" s="245">
        <f t="shared" si="61"/>
        <v>361768111</v>
      </c>
      <c r="O145" s="246">
        <f>SUM(O8,O18,O20,O24,O28,O30,O40,O43,O45,O52,O54,O56,O64,O66,O71,O73,O75,O87,O91,O102,O112,O116,O121,O128,O139,O141)</f>
        <v>353703342</v>
      </c>
      <c r="P145" s="248">
        <f>SUM(P141,P8,P18,P20,P24,P28,P30,P40,P43,P45,P52,P54,P56,P71,P73,P75,P87,P91,P102,P112,P116,P121,P128,P139,P66,P64)</f>
        <v>171288371</v>
      </c>
      <c r="Q145" s="248">
        <f>SUM(Q141,Q8,Q18,Q20,Q24,Q28,Q30,Q40,Q43,Q45,Q52,Q54,Q56,Q71,Q73,Q75,Q87,Q91,Q102,Q112,Q116,Q121,Q128,Q139,Q66,Q64)</f>
        <v>4502969</v>
      </c>
      <c r="R145" s="247">
        <f>SUM(R141,R8,R18,R20,R24,R28,R30,R40,R43,R45,R52,R54,R56,R71,R73,R75,R87,R91,R102,R112,R116,R121,R128,R139,R66)</f>
        <v>3561800</v>
      </c>
      <c r="S145" s="290">
        <f t="shared" si="59"/>
        <v>0.8974092245470735</v>
      </c>
    </row>
    <row r="146" spans="1:19" s="2" customFormat="1">
      <c r="A146" s="249"/>
      <c r="B146" s="249"/>
      <c r="C146" s="249"/>
    </row>
    <row r="147" spans="1:19" s="2" customFormat="1">
      <c r="A147" s="249"/>
      <c r="B147" s="249"/>
      <c r="C147" s="249"/>
      <c r="I147" s="250"/>
      <c r="K147" s="250"/>
    </row>
    <row r="148" spans="1:19" s="2" customFormat="1">
      <c r="A148" s="249"/>
      <c r="B148" s="251"/>
      <c r="C148" s="251"/>
      <c r="D148" s="250"/>
      <c r="E148" s="250"/>
      <c r="F148" s="250"/>
      <c r="H148" s="250"/>
      <c r="I148" s="250"/>
      <c r="K148" s="250"/>
      <c r="N148" s="250"/>
      <c r="O148" s="250"/>
    </row>
    <row r="149" spans="1:19" s="2" customFormat="1">
      <c r="A149" s="252"/>
      <c r="B149" s="252"/>
      <c r="C149" s="252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</row>
    <row r="150" spans="1:19" s="2" customFormat="1">
      <c r="A150" s="567"/>
      <c r="B150" s="254"/>
      <c r="C150" s="254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255"/>
      <c r="Q150" s="255"/>
      <c r="R150" s="255"/>
    </row>
    <row r="151" spans="1:19" s="2" customFormat="1">
      <c r="A151" s="567"/>
      <c r="B151" s="256"/>
      <c r="C151" s="25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</row>
    <row r="152" spans="1:19" s="2" customFormat="1">
      <c r="A152" s="567"/>
      <c r="B152" s="256"/>
      <c r="C152" s="25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</row>
    <row r="153" spans="1:19" s="2" customFormat="1">
      <c r="A153" s="567"/>
      <c r="B153" s="256"/>
      <c r="C153" s="25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257"/>
    </row>
    <row r="154" spans="1:19" s="2" customFormat="1">
      <c r="A154" s="567"/>
      <c r="B154" s="256"/>
      <c r="C154" s="25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257"/>
    </row>
    <row r="155" spans="1:19" s="2" customFormat="1">
      <c r="A155" s="567"/>
      <c r="B155" s="256"/>
      <c r="C155" s="25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257"/>
    </row>
    <row r="156" spans="1:19" s="2" customFormat="1">
      <c r="A156" s="567"/>
      <c r="B156" s="256"/>
      <c r="C156" s="25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257"/>
    </row>
    <row r="157" spans="1:19" s="2" customFormat="1">
      <c r="A157" s="567"/>
      <c r="B157" s="256"/>
      <c r="C157" s="25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257"/>
    </row>
    <row r="158" spans="1:19" s="2" customFormat="1">
      <c r="A158" s="567"/>
      <c r="B158" s="258"/>
      <c r="C158" s="258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7"/>
    </row>
    <row r="159" spans="1:19" s="2" customFormat="1">
      <c r="A159" s="256"/>
      <c r="B159" s="258"/>
      <c r="C159" s="258"/>
      <c r="D159" s="259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7"/>
    </row>
    <row r="160" spans="1:19" s="2" customFormat="1">
      <c r="A160" s="252"/>
      <c r="B160" s="252"/>
      <c r="C160" s="252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7"/>
    </row>
    <row r="161" spans="1:19" s="2" customFormat="1">
      <c r="A161" s="256"/>
      <c r="B161" s="256"/>
      <c r="C161" s="25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257"/>
    </row>
    <row r="162" spans="1:19" s="2" customFormat="1">
      <c r="A162" s="252"/>
      <c r="B162" s="252"/>
      <c r="C162" s="252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7"/>
    </row>
    <row r="163" spans="1:19" s="2" customFormat="1">
      <c r="A163" s="254"/>
      <c r="B163" s="254"/>
      <c r="C163" s="254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7"/>
    </row>
    <row r="164" spans="1:19" s="2" customFormat="1">
      <c r="A164" s="568"/>
      <c r="B164" s="258"/>
      <c r="C164" s="258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7"/>
    </row>
    <row r="165" spans="1:19" s="2" customFormat="1">
      <c r="A165" s="568"/>
      <c r="B165" s="258"/>
      <c r="C165" s="258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7"/>
    </row>
    <row r="166" spans="1:19" s="2" customFormat="1">
      <c r="A166" s="568"/>
      <c r="B166" s="254"/>
      <c r="C166" s="254"/>
      <c r="D166" s="176"/>
      <c r="E166" s="176"/>
      <c r="F166" s="176"/>
      <c r="G166" s="255"/>
      <c r="H166" s="255"/>
      <c r="I166" s="255"/>
      <c r="J166" s="255"/>
      <c r="K166" s="255"/>
      <c r="L166" s="255"/>
      <c r="M166" s="255"/>
      <c r="N166" s="176"/>
      <c r="O166" s="255"/>
      <c r="P166" s="255"/>
      <c r="Q166" s="255"/>
      <c r="R166" s="255"/>
      <c r="S166" s="257"/>
    </row>
    <row r="167" spans="1:19" s="2" customFormat="1">
      <c r="A167" s="568"/>
      <c r="B167" s="256"/>
      <c r="C167" s="25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</row>
    <row r="168" spans="1:19" s="2" customFormat="1">
      <c r="A168" s="252"/>
      <c r="B168" s="252"/>
      <c r="C168" s="252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</row>
    <row r="169" spans="1:19" s="2" customFormat="1">
      <c r="A169" s="564"/>
      <c r="B169" s="256"/>
      <c r="C169" s="25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</row>
    <row r="170" spans="1:19" s="2" customFormat="1">
      <c r="A170" s="564"/>
      <c r="B170" s="256"/>
      <c r="C170" s="25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</row>
    <row r="171" spans="1:19" s="2" customFormat="1">
      <c r="A171" s="564"/>
      <c r="B171" s="256"/>
      <c r="C171" s="25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</row>
    <row r="172" spans="1:19" s="2" customFormat="1">
      <c r="A172" s="252"/>
      <c r="B172" s="252"/>
      <c r="C172" s="252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</row>
    <row r="173" spans="1:19" s="2" customFormat="1">
      <c r="A173" s="256"/>
      <c r="B173" s="256"/>
      <c r="C173" s="25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</row>
    <row r="174" spans="1:19" s="2" customFormat="1">
      <c r="A174" s="252"/>
      <c r="B174" s="252"/>
      <c r="C174" s="252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</row>
    <row r="175" spans="1:19" s="2" customFormat="1">
      <c r="A175" s="564"/>
      <c r="B175" s="256"/>
      <c r="C175" s="25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</row>
    <row r="176" spans="1:19" s="2" customFormat="1">
      <c r="A176" s="564"/>
      <c r="B176" s="256"/>
      <c r="C176" s="25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</row>
    <row r="177" spans="1:18" s="2" customFormat="1">
      <c r="A177" s="564"/>
      <c r="B177" s="256"/>
      <c r="C177" s="25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</row>
    <row r="178" spans="1:18" s="2" customFormat="1">
      <c r="A178" s="564"/>
      <c r="B178" s="256"/>
      <c r="C178" s="25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</row>
    <row r="179" spans="1:18" s="2" customFormat="1">
      <c r="A179" s="564"/>
      <c r="B179" s="256"/>
      <c r="C179" s="25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</row>
    <row r="180" spans="1:18" s="2" customFormat="1">
      <c r="A180" s="564"/>
      <c r="B180" s="258"/>
      <c r="C180" s="258"/>
      <c r="D180" s="259"/>
      <c r="E180" s="259"/>
      <c r="F180" s="259"/>
      <c r="G180" s="259"/>
      <c r="H180" s="259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</row>
    <row r="181" spans="1:18" s="2" customFormat="1">
      <c r="A181" s="564"/>
      <c r="B181" s="258"/>
      <c r="C181" s="258"/>
      <c r="D181" s="259"/>
      <c r="E181" s="259"/>
      <c r="F181" s="259"/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</row>
    <row r="182" spans="1:18" s="2" customFormat="1">
      <c r="A182" s="564"/>
      <c r="B182" s="254"/>
      <c r="C182" s="254"/>
      <c r="D182" s="176"/>
      <c r="E182" s="176"/>
      <c r="F182" s="176"/>
      <c r="G182" s="255"/>
      <c r="H182" s="255"/>
      <c r="I182" s="255"/>
      <c r="J182" s="255"/>
      <c r="K182" s="255"/>
      <c r="L182" s="255"/>
      <c r="M182" s="255"/>
      <c r="N182" s="176"/>
      <c r="O182" s="255"/>
      <c r="P182" s="255"/>
      <c r="Q182" s="255"/>
      <c r="R182" s="255"/>
    </row>
    <row r="183" spans="1:18" s="2" customFormat="1">
      <c r="A183" s="564"/>
      <c r="B183" s="256"/>
      <c r="C183" s="25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</row>
    <row r="184" spans="1:18" s="2" customFormat="1">
      <c r="A184" s="252"/>
      <c r="B184" s="252"/>
      <c r="C184" s="252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</row>
    <row r="185" spans="1:18" s="2" customFormat="1">
      <c r="A185" s="256"/>
      <c r="B185" s="256"/>
      <c r="C185" s="25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</row>
    <row r="186" spans="1:18" s="2" customFormat="1">
      <c r="A186" s="252"/>
      <c r="B186" s="252"/>
      <c r="C186" s="252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</row>
    <row r="187" spans="1:18" s="2" customFormat="1">
      <c r="A187" s="256"/>
      <c r="B187" s="256"/>
      <c r="C187" s="25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</row>
    <row r="188" spans="1:18" s="2" customFormat="1">
      <c r="A188" s="252"/>
      <c r="B188" s="252"/>
      <c r="C188" s="252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</row>
    <row r="189" spans="1:18" s="2" customFormat="1">
      <c r="A189" s="564"/>
      <c r="B189" s="256"/>
      <c r="C189" s="25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</row>
    <row r="190" spans="1:18" s="2" customFormat="1">
      <c r="A190" s="564"/>
      <c r="B190" s="256"/>
      <c r="C190" s="25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</row>
    <row r="191" spans="1:18" s="2" customFormat="1">
      <c r="A191" s="564"/>
      <c r="B191" s="256"/>
      <c r="C191" s="25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</row>
    <row r="192" spans="1:18" s="2" customFormat="1">
      <c r="A192" s="564"/>
      <c r="B192" s="256"/>
      <c r="C192" s="25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</row>
    <row r="193" spans="1:18" s="2" customFormat="1">
      <c r="A193" s="252"/>
      <c r="B193" s="252"/>
      <c r="C193" s="252"/>
      <c r="D193" s="253"/>
      <c r="E193" s="253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</row>
    <row r="194" spans="1:18" s="2" customFormat="1">
      <c r="A194" s="256"/>
      <c r="B194" s="256"/>
      <c r="C194" s="25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</row>
    <row r="195" spans="1:18" s="2" customFormat="1">
      <c r="A195" s="252"/>
      <c r="B195" s="252"/>
      <c r="C195" s="252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</row>
    <row r="196" spans="1:18" s="2" customFormat="1">
      <c r="A196" s="256"/>
      <c r="B196" s="256"/>
      <c r="C196" s="25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</row>
    <row r="197" spans="1:18" s="2" customFormat="1">
      <c r="A197" s="252"/>
      <c r="B197" s="252"/>
      <c r="C197" s="252"/>
      <c r="D197" s="253"/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</row>
    <row r="198" spans="1:18" s="2" customFormat="1">
      <c r="A198" s="564"/>
      <c r="B198" s="256"/>
      <c r="C198" s="256"/>
      <c r="D198" s="260"/>
      <c r="E198" s="260"/>
      <c r="F198" s="260"/>
      <c r="G198" s="176"/>
      <c r="H198" s="176"/>
      <c r="I198" s="176"/>
      <c r="J198" s="176"/>
      <c r="K198" s="176"/>
      <c r="L198" s="176"/>
      <c r="M198" s="176"/>
      <c r="N198" s="260"/>
      <c r="O198" s="176"/>
      <c r="P198" s="176"/>
      <c r="Q198" s="176"/>
      <c r="R198" s="176"/>
    </row>
    <row r="199" spans="1:18" s="2" customFormat="1">
      <c r="A199" s="564"/>
      <c r="B199" s="261"/>
      <c r="C199" s="261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</row>
    <row r="200" spans="1:18" s="2" customFormat="1">
      <c r="A200" s="564"/>
      <c r="B200" s="261"/>
      <c r="C200" s="261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</row>
    <row r="201" spans="1:18" s="2" customFormat="1">
      <c r="A201" s="564"/>
      <c r="B201" s="258"/>
      <c r="C201" s="258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</row>
    <row r="202" spans="1:18" s="2" customFormat="1">
      <c r="A202" s="564"/>
      <c r="B202" s="258"/>
      <c r="C202" s="258"/>
      <c r="D202" s="259"/>
      <c r="E202" s="259"/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</row>
    <row r="203" spans="1:18" s="2" customFormat="1">
      <c r="A203" s="564"/>
      <c r="B203" s="258"/>
      <c r="C203" s="258"/>
      <c r="D203" s="259"/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</row>
    <row r="204" spans="1:18" s="2" customFormat="1">
      <c r="A204" s="564"/>
      <c r="B204" s="258"/>
      <c r="C204" s="258"/>
      <c r="D204" s="259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</row>
    <row r="205" spans="1:18" s="2" customFormat="1">
      <c r="A205" s="564"/>
      <c r="B205" s="258"/>
      <c r="C205" s="258"/>
      <c r="D205" s="259"/>
      <c r="E205" s="259"/>
      <c r="F205" s="259"/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</row>
    <row r="206" spans="1:18" s="2" customFormat="1">
      <c r="A206" s="564"/>
      <c r="B206" s="261"/>
      <c r="C206" s="261"/>
      <c r="D206" s="176"/>
      <c r="E206" s="176"/>
      <c r="F206" s="176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</row>
    <row r="207" spans="1:18" s="2" customFormat="1">
      <c r="A207" s="564"/>
      <c r="B207" s="261"/>
      <c r="C207" s="261"/>
      <c r="D207" s="176"/>
      <c r="E207" s="176"/>
      <c r="F207" s="176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</row>
    <row r="208" spans="1:18" s="2" customFormat="1">
      <c r="A208" s="564"/>
      <c r="B208" s="261"/>
      <c r="C208" s="261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</row>
    <row r="209" spans="1:18" s="2" customFormat="1">
      <c r="A209" s="564"/>
      <c r="B209" s="258"/>
      <c r="C209" s="258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</row>
    <row r="210" spans="1:18" s="2" customFormat="1">
      <c r="A210" s="564"/>
      <c r="B210" s="258"/>
      <c r="C210" s="258"/>
      <c r="D210" s="259"/>
      <c r="E210" s="259"/>
      <c r="F210" s="259"/>
      <c r="G210" s="259"/>
      <c r="H210" s="259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/>
    </row>
    <row r="211" spans="1:18" s="2" customFormat="1">
      <c r="A211" s="564"/>
      <c r="B211" s="258"/>
      <c r="C211" s="258"/>
      <c r="D211" s="259"/>
      <c r="E211" s="259"/>
      <c r="F211" s="259"/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</row>
    <row r="212" spans="1:18" s="2" customFormat="1">
      <c r="A212" s="564"/>
      <c r="B212" s="258"/>
      <c r="C212" s="258"/>
      <c r="D212" s="259"/>
      <c r="E212" s="259"/>
      <c r="F212" s="259"/>
      <c r="G212" s="259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</row>
    <row r="213" spans="1:18" s="2" customFormat="1">
      <c r="A213" s="564"/>
      <c r="B213" s="261"/>
      <c r="C213" s="261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</row>
    <row r="214" spans="1:18" s="2" customFormat="1">
      <c r="A214" s="564"/>
      <c r="B214" s="258"/>
      <c r="C214" s="258"/>
      <c r="D214" s="259"/>
      <c r="E214" s="259"/>
      <c r="F214" s="259"/>
      <c r="G214" s="259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</row>
    <row r="215" spans="1:18" s="2" customFormat="1">
      <c r="A215" s="564"/>
      <c r="B215" s="258"/>
      <c r="C215" s="258"/>
      <c r="D215" s="259"/>
      <c r="E215" s="259"/>
      <c r="F215" s="259"/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</row>
    <row r="216" spans="1:18" s="2" customFormat="1">
      <c r="A216" s="564"/>
      <c r="B216" s="258"/>
      <c r="C216" s="258"/>
      <c r="D216" s="259"/>
      <c r="E216" s="259"/>
      <c r="F216" s="259"/>
      <c r="G216" s="259"/>
      <c r="H216" s="259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/>
    </row>
    <row r="217" spans="1:18" s="2" customFormat="1">
      <c r="A217" s="564"/>
      <c r="B217" s="258"/>
      <c r="C217" s="258"/>
      <c r="D217" s="259"/>
      <c r="E217" s="259"/>
      <c r="F217" s="259"/>
      <c r="G217" s="259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</row>
    <row r="218" spans="1:18" s="2" customFormat="1">
      <c r="A218" s="564"/>
      <c r="B218" s="258"/>
      <c r="C218" s="258"/>
      <c r="D218" s="259"/>
      <c r="E218" s="259"/>
      <c r="F218" s="259"/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</row>
    <row r="219" spans="1:18" s="2" customFormat="1">
      <c r="A219" s="252"/>
      <c r="B219" s="252"/>
      <c r="C219" s="252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</row>
    <row r="220" spans="1:18" s="2" customFormat="1">
      <c r="A220" s="256"/>
      <c r="B220" s="256"/>
      <c r="C220" s="25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</row>
    <row r="221" spans="1:18" s="2" customFormat="1">
      <c r="A221" s="252"/>
      <c r="B221" s="252"/>
      <c r="C221" s="252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</row>
    <row r="222" spans="1:18" s="2" customFormat="1">
      <c r="A222" s="564"/>
      <c r="B222" s="256"/>
      <c r="C222" s="25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</row>
    <row r="223" spans="1:18" s="2" customFormat="1">
      <c r="A223" s="564"/>
      <c r="B223" s="256"/>
      <c r="C223" s="25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</row>
    <row r="224" spans="1:18" s="2" customFormat="1">
      <c r="A224" s="252"/>
      <c r="B224" s="252"/>
      <c r="C224" s="252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</row>
    <row r="225" spans="1:18" s="2" customFormat="1">
      <c r="A225" s="564"/>
      <c r="B225" s="256"/>
      <c r="C225" s="25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</row>
    <row r="226" spans="1:18" s="2" customFormat="1">
      <c r="A226" s="564"/>
      <c r="B226" s="262"/>
      <c r="C226" s="262"/>
      <c r="D226" s="259"/>
      <c r="E226" s="259"/>
      <c r="F226" s="259"/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</row>
    <row r="227" spans="1:18" s="2" customFormat="1">
      <c r="A227" s="564"/>
      <c r="B227" s="262"/>
      <c r="C227" s="262"/>
      <c r="D227" s="259"/>
      <c r="E227" s="259"/>
      <c r="F227" s="259"/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</row>
    <row r="228" spans="1:18" s="2" customFormat="1">
      <c r="A228" s="564"/>
      <c r="B228" s="262"/>
      <c r="C228" s="262"/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</row>
    <row r="229" spans="1:18" s="2" customFormat="1">
      <c r="A229" s="564"/>
      <c r="B229" s="262"/>
      <c r="C229" s="262"/>
      <c r="D229" s="259"/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</row>
    <row r="230" spans="1:18" s="2" customFormat="1">
      <c r="A230" s="252"/>
      <c r="B230" s="263"/>
      <c r="C230" s="263"/>
      <c r="D230" s="253"/>
      <c r="E230" s="253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</row>
    <row r="231" spans="1:18" s="2" customFormat="1">
      <c r="A231" s="570"/>
      <c r="B231" s="264"/>
      <c r="C231" s="264"/>
      <c r="D231" s="260"/>
      <c r="E231" s="260"/>
      <c r="F231" s="260"/>
      <c r="G231" s="260"/>
      <c r="H231" s="260"/>
      <c r="I231" s="260"/>
      <c r="J231" s="260"/>
      <c r="K231" s="260"/>
      <c r="L231" s="260"/>
      <c r="M231" s="260"/>
      <c r="N231" s="260"/>
      <c r="O231" s="260"/>
      <c r="P231" s="260"/>
      <c r="Q231" s="260"/>
      <c r="R231" s="260"/>
    </row>
    <row r="232" spans="1:18" s="2" customFormat="1">
      <c r="A232" s="570"/>
      <c r="B232" s="264"/>
      <c r="C232" s="264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  <c r="Q232" s="260"/>
      <c r="R232" s="260"/>
    </row>
    <row r="233" spans="1:18" s="2" customFormat="1">
      <c r="A233" s="570"/>
      <c r="B233" s="264"/>
      <c r="C233" s="264"/>
      <c r="D233" s="260"/>
      <c r="E233" s="260"/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0"/>
      <c r="Q233" s="260"/>
      <c r="R233" s="260"/>
    </row>
    <row r="234" spans="1:18" s="2" customFormat="1">
      <c r="A234" s="570"/>
      <c r="B234" s="264"/>
      <c r="C234" s="264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</row>
    <row r="235" spans="1:18" s="2" customFormat="1">
      <c r="A235" s="570"/>
      <c r="B235" s="264"/>
      <c r="C235" s="264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0"/>
      <c r="Q235" s="260"/>
      <c r="R235" s="260"/>
    </row>
    <row r="236" spans="1:18" s="2" customFormat="1">
      <c r="A236" s="570"/>
      <c r="B236" s="264"/>
      <c r="C236" s="264"/>
      <c r="D236" s="260"/>
      <c r="E236" s="260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0"/>
      <c r="Q236" s="260"/>
      <c r="R236" s="260"/>
    </row>
    <row r="237" spans="1:18" s="2" customFormat="1">
      <c r="A237" s="570"/>
      <c r="B237" s="264"/>
      <c r="C237" s="264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</row>
    <row r="238" spans="1:18" s="2" customFormat="1">
      <c r="A238" s="570"/>
      <c r="B238" s="262"/>
      <c r="C238" s="262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</row>
    <row r="239" spans="1:18" s="2" customFormat="1">
      <c r="A239" s="570"/>
      <c r="B239" s="262"/>
      <c r="C239" s="262"/>
      <c r="D239" s="259"/>
      <c r="E239" s="259"/>
      <c r="F239" s="259"/>
      <c r="G239" s="259"/>
      <c r="H239" s="259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</row>
    <row r="240" spans="1:18" s="2" customFormat="1">
      <c r="A240" s="570"/>
      <c r="B240" s="264"/>
      <c r="C240" s="264"/>
      <c r="D240" s="260"/>
      <c r="E240" s="260"/>
      <c r="F240" s="260"/>
      <c r="G240" s="260"/>
      <c r="H240" s="260"/>
      <c r="I240" s="260"/>
      <c r="J240" s="260"/>
      <c r="K240" s="260"/>
      <c r="L240" s="260"/>
      <c r="M240" s="260"/>
      <c r="N240" s="260"/>
      <c r="O240" s="260"/>
      <c r="P240" s="260"/>
      <c r="Q240" s="260"/>
      <c r="R240" s="260"/>
    </row>
    <row r="241" spans="1:18" s="2" customFormat="1">
      <c r="A241" s="570"/>
      <c r="B241" s="264"/>
      <c r="C241" s="264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0"/>
      <c r="Q241" s="260"/>
      <c r="R241" s="260"/>
    </row>
    <row r="242" spans="1:18" s="2" customFormat="1">
      <c r="A242" s="570"/>
      <c r="B242" s="262"/>
      <c r="C242" s="262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</row>
    <row r="243" spans="1:18" s="2" customFormat="1">
      <c r="A243" s="254"/>
      <c r="B243" s="262"/>
      <c r="C243" s="262"/>
      <c r="D243" s="259"/>
      <c r="E243" s="259"/>
      <c r="F243" s="259"/>
      <c r="G243" s="259"/>
      <c r="H243" s="259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</row>
    <row r="244" spans="1:18" s="2" customFormat="1">
      <c r="A244" s="252"/>
      <c r="B244" s="263"/>
      <c r="C244" s="263"/>
      <c r="D244" s="253"/>
      <c r="E244" s="253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</row>
    <row r="245" spans="1:18" s="2" customFormat="1">
      <c r="A245" s="570"/>
      <c r="B245" s="264"/>
      <c r="C245" s="264"/>
      <c r="D245" s="260"/>
      <c r="E245" s="260"/>
      <c r="F245" s="260"/>
      <c r="G245" s="260"/>
      <c r="H245" s="260"/>
      <c r="I245" s="260"/>
      <c r="J245" s="260"/>
      <c r="K245" s="260"/>
      <c r="L245" s="260"/>
      <c r="M245" s="260"/>
      <c r="N245" s="260"/>
      <c r="O245" s="260"/>
      <c r="P245" s="260"/>
      <c r="Q245" s="260"/>
      <c r="R245" s="260"/>
    </row>
    <row r="246" spans="1:18" s="2" customFormat="1">
      <c r="A246" s="570"/>
      <c r="B246" s="264"/>
      <c r="C246" s="264"/>
      <c r="D246" s="260"/>
      <c r="E246" s="260"/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260"/>
      <c r="Q246" s="260"/>
      <c r="R246" s="260"/>
    </row>
    <row r="247" spans="1:18" s="2" customFormat="1">
      <c r="A247" s="252"/>
      <c r="B247" s="263"/>
      <c r="C247" s="263"/>
      <c r="D247" s="253"/>
      <c r="E247" s="253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</row>
    <row r="248" spans="1:18" s="2" customFormat="1">
      <c r="A248" s="570"/>
      <c r="B248" s="264"/>
      <c r="C248" s="264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</row>
    <row r="249" spans="1:18" s="2" customFormat="1">
      <c r="A249" s="570"/>
      <c r="B249" s="264"/>
      <c r="C249" s="264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</row>
    <row r="250" spans="1:18" s="2" customFormat="1">
      <c r="A250" s="570"/>
      <c r="B250" s="264"/>
      <c r="C250" s="264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</row>
    <row r="251" spans="1:18" s="2" customFormat="1">
      <c r="A251" s="570"/>
      <c r="B251" s="264"/>
      <c r="C251" s="264"/>
      <c r="D251" s="260"/>
      <c r="E251" s="260"/>
      <c r="F251" s="260"/>
      <c r="G251" s="260"/>
      <c r="H251" s="260"/>
      <c r="I251" s="260"/>
      <c r="J251" s="260"/>
      <c r="K251" s="260"/>
      <c r="L251" s="260"/>
      <c r="M251" s="260"/>
      <c r="N251" s="260"/>
      <c r="O251" s="260"/>
      <c r="P251" s="260"/>
      <c r="Q251" s="260"/>
      <c r="R251" s="260"/>
    </row>
    <row r="252" spans="1:18" s="2" customFormat="1">
      <c r="A252" s="570"/>
      <c r="B252" s="264"/>
      <c r="C252" s="264"/>
      <c r="D252" s="260"/>
      <c r="E252" s="260"/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260"/>
      <c r="Q252" s="260"/>
      <c r="R252" s="260"/>
    </row>
    <row r="253" spans="1:18" s="2" customFormat="1">
      <c r="A253" s="570"/>
      <c r="B253" s="264"/>
      <c r="C253" s="264"/>
      <c r="D253" s="260"/>
      <c r="E253" s="260"/>
      <c r="F253" s="260"/>
      <c r="G253" s="260"/>
      <c r="H253" s="260"/>
      <c r="I253" s="260"/>
      <c r="J253" s="260"/>
      <c r="K253" s="260"/>
      <c r="L253" s="260"/>
      <c r="M253" s="260"/>
      <c r="N253" s="260"/>
      <c r="O253" s="260"/>
      <c r="P253" s="260"/>
      <c r="Q253" s="260"/>
      <c r="R253" s="260"/>
    </row>
    <row r="254" spans="1:18" s="2" customFormat="1">
      <c r="A254" s="570"/>
      <c r="B254" s="264"/>
      <c r="C254" s="264"/>
      <c r="D254" s="260"/>
      <c r="E254" s="260"/>
      <c r="F254" s="260"/>
      <c r="G254" s="260"/>
      <c r="H254" s="260"/>
      <c r="I254" s="260"/>
      <c r="J254" s="260"/>
      <c r="K254" s="260"/>
      <c r="L254" s="260"/>
      <c r="M254" s="260"/>
      <c r="N254" s="260"/>
      <c r="O254" s="260"/>
      <c r="P254" s="260"/>
      <c r="Q254" s="260"/>
      <c r="R254" s="260"/>
    </row>
    <row r="255" spans="1:18" s="2" customFormat="1">
      <c r="A255" s="570"/>
      <c r="B255" s="264"/>
      <c r="C255" s="264"/>
      <c r="D255" s="260"/>
      <c r="E255" s="260"/>
      <c r="F255" s="260"/>
      <c r="G255" s="260"/>
      <c r="H255" s="260"/>
      <c r="I255" s="260"/>
      <c r="J255" s="260"/>
      <c r="K255" s="260"/>
      <c r="L255" s="260"/>
      <c r="M255" s="260"/>
      <c r="N255" s="260"/>
      <c r="O255" s="260"/>
      <c r="P255" s="260"/>
      <c r="Q255" s="260"/>
      <c r="R255" s="260"/>
    </row>
    <row r="256" spans="1:18" s="2" customFormat="1">
      <c r="A256" s="570"/>
      <c r="B256" s="264"/>
      <c r="C256" s="264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</row>
    <row r="257" spans="1:18" s="2" customFormat="1">
      <c r="A257" s="570"/>
      <c r="B257" s="264"/>
      <c r="C257" s="264"/>
      <c r="D257" s="260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</row>
    <row r="258" spans="1:18" s="2" customFormat="1">
      <c r="A258" s="252"/>
      <c r="B258" s="263"/>
      <c r="C258" s="263"/>
      <c r="D258" s="253"/>
      <c r="E258" s="253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</row>
    <row r="259" spans="1:18" s="2" customFormat="1">
      <c r="A259" s="570"/>
      <c r="B259" s="264"/>
      <c r="C259" s="264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</row>
    <row r="260" spans="1:18" s="2" customFormat="1">
      <c r="A260" s="570"/>
      <c r="B260" s="264"/>
      <c r="C260" s="264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</row>
    <row r="261" spans="1:18" s="2" customFormat="1">
      <c r="A261" s="570"/>
      <c r="B261" s="264"/>
      <c r="C261" s="264"/>
      <c r="D261" s="260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</row>
    <row r="262" spans="1:18" s="2" customFormat="1">
      <c r="A262" s="570"/>
      <c r="B262" s="264"/>
      <c r="C262" s="264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</row>
    <row r="263" spans="1:18" s="2" customFormat="1">
      <c r="A263" s="570"/>
      <c r="B263" s="264"/>
      <c r="C263" s="264"/>
      <c r="D263" s="260"/>
      <c r="E263" s="260"/>
      <c r="F263" s="260"/>
      <c r="G263" s="260"/>
      <c r="H263" s="260"/>
      <c r="I263" s="260"/>
      <c r="J263" s="260"/>
      <c r="K263" s="260"/>
      <c r="L263" s="260"/>
      <c r="M263" s="260"/>
      <c r="N263" s="260"/>
      <c r="O263" s="260"/>
      <c r="P263" s="260"/>
      <c r="Q263" s="260"/>
      <c r="R263" s="260"/>
    </row>
    <row r="264" spans="1:18" s="2" customFormat="1">
      <c r="A264" s="570"/>
      <c r="B264" s="262"/>
      <c r="C264" s="262"/>
      <c r="D264" s="259"/>
      <c r="E264" s="259"/>
      <c r="F264" s="259"/>
      <c r="G264" s="259"/>
      <c r="H264" s="259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</row>
    <row r="265" spans="1:18" s="2" customFormat="1">
      <c r="A265" s="254"/>
      <c r="B265" s="262"/>
      <c r="C265" s="262"/>
      <c r="D265" s="259"/>
      <c r="E265" s="259"/>
      <c r="F265" s="259"/>
      <c r="G265" s="259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</row>
    <row r="266" spans="1:18" s="2" customFormat="1">
      <c r="A266" s="252"/>
      <c r="B266" s="263"/>
      <c r="C266" s="263"/>
      <c r="D266" s="253"/>
      <c r="E266" s="253"/>
      <c r="F266" s="253"/>
      <c r="G266" s="253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</row>
    <row r="267" spans="1:18" s="2" customFormat="1">
      <c r="A267" s="570"/>
      <c r="B267" s="264"/>
      <c r="C267" s="264"/>
      <c r="D267" s="260"/>
      <c r="E267" s="260"/>
      <c r="F267" s="260"/>
      <c r="G267" s="260"/>
      <c r="H267" s="260"/>
      <c r="I267" s="260"/>
      <c r="J267" s="260"/>
      <c r="K267" s="260"/>
      <c r="L267" s="260"/>
      <c r="M267" s="260"/>
      <c r="N267" s="260"/>
      <c r="O267" s="260"/>
      <c r="P267" s="260"/>
      <c r="Q267" s="260"/>
      <c r="R267" s="260"/>
    </row>
    <row r="268" spans="1:18" s="2" customFormat="1">
      <c r="A268" s="570"/>
      <c r="B268" s="264"/>
      <c r="C268" s="264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</row>
    <row r="269" spans="1:18" s="2" customFormat="1">
      <c r="A269" s="570"/>
      <c r="B269" s="264"/>
      <c r="C269" s="264"/>
      <c r="D269" s="260"/>
      <c r="E269" s="260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</row>
    <row r="270" spans="1:18" s="2" customFormat="1">
      <c r="A270" s="570"/>
      <c r="B270" s="262"/>
      <c r="C270" s="262"/>
      <c r="D270" s="259"/>
      <c r="E270" s="259"/>
      <c r="F270" s="259"/>
      <c r="G270" s="259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</row>
    <row r="271" spans="1:18" s="2" customFormat="1">
      <c r="A271" s="254"/>
      <c r="B271" s="262"/>
      <c r="C271" s="262"/>
      <c r="D271" s="259"/>
      <c r="E271" s="259"/>
      <c r="F271" s="259"/>
      <c r="G271" s="259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/>
    </row>
    <row r="272" spans="1:18" s="2" customFormat="1">
      <c r="A272" s="252"/>
      <c r="B272" s="263"/>
      <c r="C272" s="263"/>
      <c r="D272" s="253"/>
      <c r="E272" s="253"/>
      <c r="F272" s="253"/>
      <c r="G272" s="253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</row>
    <row r="273" spans="1:18" s="2" customFormat="1">
      <c r="A273" s="570"/>
      <c r="B273" s="264"/>
      <c r="C273" s="264"/>
      <c r="D273" s="260"/>
      <c r="E273" s="260"/>
      <c r="F273" s="260"/>
      <c r="G273" s="260"/>
      <c r="H273" s="260"/>
      <c r="I273" s="260"/>
      <c r="J273" s="260"/>
      <c r="K273" s="260"/>
      <c r="L273" s="260"/>
      <c r="M273" s="260"/>
      <c r="N273" s="260"/>
      <c r="O273" s="260"/>
      <c r="P273" s="260"/>
      <c r="Q273" s="260"/>
      <c r="R273" s="260"/>
    </row>
    <row r="274" spans="1:18" s="2" customFormat="1">
      <c r="A274" s="570"/>
      <c r="B274" s="264"/>
      <c r="C274" s="264"/>
      <c r="D274" s="260"/>
      <c r="E274" s="260"/>
      <c r="F274" s="260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</row>
    <row r="275" spans="1:18" s="2" customFormat="1">
      <c r="A275" s="570"/>
      <c r="B275" s="262"/>
      <c r="C275" s="262"/>
      <c r="D275" s="259"/>
      <c r="E275" s="259"/>
      <c r="F275" s="259"/>
      <c r="G275" s="259"/>
      <c r="H275" s="259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/>
    </row>
    <row r="276" spans="1:18" s="2" customFormat="1">
      <c r="A276" s="570"/>
      <c r="B276" s="262"/>
      <c r="C276" s="262"/>
      <c r="D276" s="259"/>
      <c r="E276" s="259"/>
      <c r="F276" s="259"/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</row>
    <row r="277" spans="1:18" s="2" customFormat="1">
      <c r="A277" s="570"/>
      <c r="B277" s="256"/>
      <c r="C277" s="256"/>
      <c r="D277" s="260"/>
      <c r="E277" s="260"/>
      <c r="F277" s="260"/>
      <c r="G277" s="176"/>
      <c r="H277" s="176"/>
      <c r="I277" s="176"/>
      <c r="J277" s="176"/>
      <c r="K277" s="176"/>
      <c r="L277" s="176"/>
      <c r="M277" s="176"/>
      <c r="N277" s="260"/>
      <c r="O277" s="176"/>
      <c r="P277" s="176"/>
      <c r="Q277" s="176"/>
      <c r="R277" s="176"/>
    </row>
    <row r="278" spans="1:18" s="2" customFormat="1">
      <c r="A278" s="261"/>
      <c r="B278" s="256"/>
      <c r="C278" s="256"/>
      <c r="D278" s="260"/>
      <c r="E278" s="260"/>
      <c r="F278" s="260"/>
      <c r="G278" s="176"/>
      <c r="H278" s="176"/>
      <c r="I278" s="176"/>
      <c r="J278" s="176"/>
      <c r="K278" s="176"/>
      <c r="L278" s="176"/>
      <c r="M278" s="176"/>
      <c r="N278" s="260"/>
      <c r="O278" s="176"/>
      <c r="P278" s="176"/>
      <c r="Q278" s="176"/>
      <c r="R278" s="176"/>
    </row>
    <row r="279" spans="1:18" s="2" customFormat="1">
      <c r="A279" s="252"/>
      <c r="B279" s="252"/>
      <c r="C279" s="252"/>
      <c r="D279" s="253"/>
      <c r="E279" s="253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</row>
    <row r="280" spans="1:18" s="2" customFormat="1">
      <c r="A280" s="564"/>
      <c r="B280" s="256"/>
      <c r="C280" s="25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</row>
    <row r="281" spans="1:18" s="2" customFormat="1">
      <c r="A281" s="564"/>
      <c r="B281" s="256"/>
      <c r="C281" s="25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</row>
    <row r="282" spans="1:18" s="2" customFormat="1">
      <c r="A282" s="564"/>
      <c r="B282" s="256"/>
      <c r="C282" s="25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</row>
    <row r="283" spans="1:18" s="2" customFormat="1">
      <c r="A283" s="564"/>
      <c r="B283" s="256"/>
      <c r="C283" s="25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</row>
    <row r="284" spans="1:18" s="2" customFormat="1">
      <c r="A284" s="564"/>
      <c r="B284" s="256"/>
      <c r="C284" s="25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</row>
    <row r="285" spans="1:18" s="2" customFormat="1">
      <c r="A285" s="564"/>
      <c r="B285" s="256"/>
      <c r="C285" s="25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</row>
    <row r="286" spans="1:18" s="2" customFormat="1">
      <c r="A286" s="252"/>
      <c r="B286" s="252"/>
      <c r="C286" s="252"/>
      <c r="D286" s="253"/>
      <c r="E286" s="253"/>
      <c r="F286" s="253"/>
      <c r="G286" s="253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</row>
    <row r="287" spans="1:18" s="2" customFormat="1">
      <c r="A287" s="564"/>
      <c r="B287" s="256"/>
      <c r="C287" s="25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</row>
    <row r="288" spans="1:18" s="2" customFormat="1">
      <c r="A288" s="564"/>
      <c r="B288" s="256"/>
      <c r="C288" s="25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</row>
    <row r="289" spans="1:18" s="2" customFormat="1">
      <c r="A289" s="564"/>
      <c r="B289" s="256"/>
      <c r="C289" s="25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</row>
    <row r="290" spans="1:18" s="2" customFormat="1">
      <c r="A290" s="564"/>
      <c r="B290" s="256"/>
      <c r="C290" s="25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</row>
    <row r="291" spans="1:18" s="2" customFormat="1">
      <c r="A291" s="564"/>
      <c r="B291" s="256"/>
      <c r="C291" s="25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</row>
    <row r="292" spans="1:18" s="2" customFormat="1">
      <c r="A292" s="564"/>
      <c r="B292" s="256"/>
      <c r="C292" s="25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</row>
    <row r="293" spans="1:18" s="2" customFormat="1">
      <c r="A293" s="564"/>
      <c r="B293" s="256"/>
      <c r="C293" s="25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</row>
    <row r="294" spans="1:18" s="2" customFormat="1">
      <c r="A294" s="564"/>
      <c r="B294" s="256"/>
      <c r="C294" s="25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</row>
    <row r="295" spans="1:18" s="2" customFormat="1">
      <c r="A295" s="564"/>
      <c r="B295" s="256"/>
      <c r="C295" s="25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</row>
    <row r="296" spans="1:18" s="2" customFormat="1">
      <c r="A296" s="564"/>
      <c r="B296" s="258"/>
      <c r="C296" s="258"/>
      <c r="D296" s="259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</row>
    <row r="297" spans="1:18" s="2" customFormat="1">
      <c r="A297" s="564"/>
      <c r="B297" s="258"/>
      <c r="C297" s="258"/>
      <c r="D297" s="259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</row>
    <row r="298" spans="1:18" s="2" customFormat="1">
      <c r="A298" s="564"/>
      <c r="B298" s="254"/>
      <c r="C298" s="254"/>
      <c r="D298" s="255"/>
      <c r="E298" s="255"/>
      <c r="F298" s="255"/>
      <c r="G298" s="255"/>
      <c r="H298" s="255"/>
      <c r="I298" s="255"/>
      <c r="J298" s="255"/>
      <c r="K298" s="255"/>
      <c r="L298" s="255"/>
      <c r="M298" s="255"/>
      <c r="N298" s="255"/>
      <c r="O298" s="255"/>
      <c r="P298" s="255"/>
      <c r="Q298" s="255"/>
      <c r="R298" s="255"/>
    </row>
    <row r="299" spans="1:18" s="2" customFormat="1">
      <c r="A299" s="564"/>
      <c r="B299" s="258"/>
      <c r="C299" s="258"/>
      <c r="D299" s="259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</row>
    <row r="300" spans="1:18" s="2" customFormat="1">
      <c r="A300" s="256"/>
      <c r="B300" s="258"/>
      <c r="C300" s="258"/>
      <c r="D300" s="259"/>
      <c r="E300" s="259"/>
      <c r="F300" s="259"/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</row>
    <row r="301" spans="1:18" s="2" customFormat="1">
      <c r="A301" s="252"/>
      <c r="B301" s="252"/>
      <c r="C301" s="252"/>
      <c r="D301" s="253"/>
      <c r="E301" s="253"/>
      <c r="F301" s="253"/>
      <c r="G301" s="253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</row>
    <row r="302" spans="1:18" s="2" customFormat="1">
      <c r="A302" s="256"/>
      <c r="B302" s="256"/>
      <c r="C302" s="25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</row>
    <row r="303" spans="1:18" s="2" customFormat="1">
      <c r="A303" s="252"/>
      <c r="B303" s="252"/>
      <c r="C303" s="252"/>
      <c r="D303" s="253"/>
      <c r="E303" s="253"/>
      <c r="F303" s="253"/>
      <c r="G303" s="253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</row>
    <row r="304" spans="1:18" s="2" customFormat="1">
      <c r="A304" s="564"/>
      <c r="B304" s="256"/>
      <c r="C304" s="25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</row>
    <row r="305" spans="1:18" s="2" customFormat="1">
      <c r="A305" s="564"/>
      <c r="B305" s="256"/>
      <c r="C305" s="25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</row>
    <row r="306" spans="1:18" s="2" customFormat="1">
      <c r="A306" s="569"/>
      <c r="B306" s="569"/>
      <c r="C306" s="265"/>
      <c r="D306" s="266"/>
      <c r="E306" s="266"/>
      <c r="F306" s="266"/>
      <c r="G306" s="266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</row>
    <row r="307" spans="1:18" s="2" customFormat="1">
      <c r="A307" s="249"/>
      <c r="B307" s="249"/>
      <c r="C307" s="249"/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67"/>
    </row>
    <row r="308" spans="1:18" s="2" customFormat="1">
      <c r="A308" s="249"/>
      <c r="B308" s="249"/>
      <c r="C308" s="249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</row>
    <row r="309" spans="1:18" s="2" customFormat="1">
      <c r="A309" s="249"/>
      <c r="B309" s="249"/>
      <c r="C309" s="249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</row>
    <row r="310" spans="1:18" s="2" customFormat="1">
      <c r="A310" s="249"/>
      <c r="B310" s="249"/>
      <c r="C310" s="249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</row>
    <row r="311" spans="1:18" s="2" customFormat="1">
      <c r="A311" s="249"/>
      <c r="B311" s="249"/>
      <c r="C311" s="249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</row>
    <row r="312" spans="1:18" s="2" customFormat="1">
      <c r="A312" s="249"/>
      <c r="B312" s="249"/>
      <c r="C312" s="249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</row>
    <row r="313" spans="1:18" s="2" customFormat="1">
      <c r="A313" s="249"/>
      <c r="B313" s="249"/>
      <c r="C313" s="249"/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</row>
    <row r="314" spans="1:18" s="2" customFormat="1">
      <c r="A314" s="249"/>
      <c r="B314" s="249"/>
      <c r="C314" s="249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</row>
    <row r="315" spans="1:18" s="2" customFormat="1">
      <c r="A315" s="249"/>
      <c r="B315" s="249"/>
      <c r="C315" s="249"/>
      <c r="D315" s="250"/>
      <c r="E315" s="250"/>
      <c r="F315" s="250"/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</row>
    <row r="316" spans="1:18" s="2" customFormat="1">
      <c r="A316" s="249"/>
      <c r="B316" s="249"/>
      <c r="C316" s="249"/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</row>
    <row r="317" spans="1:18" s="2" customFormat="1">
      <c r="A317" s="249"/>
      <c r="B317" s="249"/>
      <c r="C317" s="249"/>
      <c r="D317" s="250"/>
      <c r="E317" s="250"/>
      <c r="F317" s="250"/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</row>
    <row r="318" spans="1:18" s="2" customFormat="1">
      <c r="A318" s="249"/>
      <c r="B318" s="249"/>
      <c r="C318" s="249"/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</row>
    <row r="319" spans="1:18" s="2" customFormat="1">
      <c r="A319" s="249"/>
      <c r="B319" s="249"/>
      <c r="C319" s="249"/>
      <c r="D319" s="250"/>
      <c r="E319" s="250"/>
      <c r="F319" s="250"/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</row>
    <row r="320" spans="1:18" s="2" customFormat="1">
      <c r="A320" s="249"/>
      <c r="B320" s="249"/>
      <c r="C320" s="249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</row>
    <row r="321" spans="1:18" s="2" customFormat="1">
      <c r="A321" s="249"/>
      <c r="B321" s="249"/>
      <c r="C321" s="249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</row>
    <row r="322" spans="1:18" s="2" customFormat="1">
      <c r="A322" s="249"/>
      <c r="B322" s="249"/>
      <c r="C322" s="249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</row>
    <row r="323" spans="1:18" s="2" customFormat="1">
      <c r="A323" s="249"/>
      <c r="B323" s="249"/>
      <c r="C323" s="249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</row>
    <row r="324" spans="1:18" s="2" customFormat="1">
      <c r="A324" s="249"/>
      <c r="B324" s="249"/>
      <c r="C324" s="249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</row>
    <row r="325" spans="1:18" s="2" customFormat="1">
      <c r="A325" s="249"/>
      <c r="B325" s="249"/>
      <c r="C325" s="249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</row>
    <row r="326" spans="1:18" s="2" customFormat="1">
      <c r="A326" s="249"/>
      <c r="B326" s="249"/>
      <c r="C326" s="249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</row>
    <row r="327" spans="1:18" s="2" customFormat="1">
      <c r="A327" s="249"/>
      <c r="B327" s="249"/>
      <c r="C327" s="249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</row>
    <row r="328" spans="1:18" s="2" customFormat="1">
      <c r="A328" s="249"/>
      <c r="B328" s="249"/>
      <c r="C328" s="249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</row>
    <row r="329" spans="1:18" s="2" customFormat="1">
      <c r="A329" s="249"/>
      <c r="B329" s="249"/>
      <c r="C329" s="249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</row>
    <row r="330" spans="1:18" s="2" customFormat="1">
      <c r="A330" s="249"/>
      <c r="B330" s="249"/>
      <c r="C330" s="249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</row>
    <row r="331" spans="1:18" s="2" customFormat="1">
      <c r="A331" s="249"/>
      <c r="B331" s="249"/>
      <c r="C331" s="249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</row>
    <row r="332" spans="1:18" s="2" customFormat="1">
      <c r="A332" s="249"/>
      <c r="B332" s="249"/>
      <c r="C332" s="249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</row>
    <row r="333" spans="1:18" s="2" customFormat="1">
      <c r="A333" s="249"/>
      <c r="B333" s="249"/>
      <c r="C333" s="249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</row>
    <row r="334" spans="1:18" s="2" customFormat="1">
      <c r="A334" s="249"/>
      <c r="B334" s="249"/>
      <c r="C334" s="249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</row>
    <row r="335" spans="1:18" s="2" customFormat="1">
      <c r="A335" s="249"/>
      <c r="B335" s="249"/>
      <c r="C335" s="249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</row>
    <row r="336" spans="1:18" s="2" customFormat="1">
      <c r="A336" s="249"/>
      <c r="B336" s="249"/>
      <c r="C336" s="249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</row>
    <row r="337" spans="1:18" s="2" customFormat="1">
      <c r="A337" s="249"/>
      <c r="B337" s="249"/>
      <c r="C337" s="249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</row>
    <row r="338" spans="1:18" s="2" customFormat="1">
      <c r="A338" s="249"/>
      <c r="B338" s="249"/>
      <c r="C338" s="249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</row>
    <row r="339" spans="1:18" s="2" customFormat="1">
      <c r="A339" s="249"/>
      <c r="B339" s="249"/>
      <c r="C339" s="249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</row>
    <row r="340" spans="1:18" s="2" customFormat="1">
      <c r="A340" s="249"/>
      <c r="B340" s="249"/>
      <c r="C340" s="249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</row>
    <row r="341" spans="1:18" s="2" customFormat="1">
      <c r="A341" s="249"/>
      <c r="B341" s="249"/>
      <c r="C341" s="249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</row>
    <row r="342" spans="1:18" s="2" customFormat="1">
      <c r="A342" s="249"/>
      <c r="B342" s="249"/>
      <c r="C342" s="249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</row>
    <row r="343" spans="1:18" s="2" customFormat="1">
      <c r="A343" s="249"/>
      <c r="B343" s="249"/>
      <c r="C343" s="249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</row>
    <row r="344" spans="1:18" s="2" customFormat="1">
      <c r="A344" s="249"/>
      <c r="B344" s="249"/>
      <c r="C344" s="249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</row>
    <row r="345" spans="1:18" s="2" customFormat="1">
      <c r="A345" s="249"/>
      <c r="B345" s="249"/>
      <c r="C345" s="249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</row>
    <row r="346" spans="1:18" s="2" customFormat="1">
      <c r="A346" s="249"/>
      <c r="B346" s="249"/>
      <c r="C346" s="249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</row>
    <row r="347" spans="1:18" s="2" customFormat="1">
      <c r="A347" s="249"/>
      <c r="B347" s="249"/>
      <c r="C347" s="249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</row>
    <row r="348" spans="1:18" s="2" customFormat="1">
      <c r="A348" s="249"/>
      <c r="B348" s="249"/>
      <c r="C348" s="249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</row>
    <row r="349" spans="1:18" s="2" customFormat="1">
      <c r="A349" s="249"/>
      <c r="B349" s="249"/>
      <c r="C349" s="249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</row>
    <row r="350" spans="1:18" s="2" customFormat="1">
      <c r="A350" s="249"/>
      <c r="B350" s="249"/>
      <c r="C350" s="249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</row>
    <row r="351" spans="1:18"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4:18"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4:18"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4:18"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4:18"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4:18"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4:18"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4:18"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4:18"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4:18"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4:18"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4:18"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4:18"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4:18"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4:18"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4:18"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4:18"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4:18"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4:18"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4:18"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4:18"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4:18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4:18"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4:18"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4:18"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4:18"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4:18"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4:18"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4:18"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4:18"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4:18"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4:18"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4:18"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4:18"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4:18"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4:18"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4:18"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4:18"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4:18"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4:18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4:18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4:18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4:18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4:18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4:18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4:18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4:18"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4:18"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4:18"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4:18"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4:18"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4:18"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4:18"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4:18"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4:18"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4:18"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4:18"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4:18"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4:18"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4:18"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4:18"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4:18"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4:18"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4:18"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4:18"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4:18"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4:18"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4:18"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4:18"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4:18"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4:18"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4:18"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4:18"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4:18"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4:18"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4:18"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4:18"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4:18"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4:18"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4:18"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4:18"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4:18"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4:18"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4:18"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4:18"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4:18"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4:18"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4:18"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4:18"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4:18"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4:18"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4:18"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4:18"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4:18"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4:18"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4:18"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4:18"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4:18"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4:18"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4:18"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4:18"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4:18"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4:18"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4:18"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4:18"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4:18"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4:18"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4:18"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4:18"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4:18"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4:18"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4:18"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4:18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4:18"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4:18"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4:18">
      <c r="D467" s="3"/>
    </row>
    <row r="468" spans="4:18">
      <c r="D468" s="3"/>
    </row>
    <row r="469" spans="4:18">
      <c r="D469" s="3"/>
    </row>
    <row r="470" spans="4:18">
      <c r="D470" s="3"/>
    </row>
    <row r="471" spans="4:18">
      <c r="D471" s="3"/>
    </row>
    <row r="472" spans="4:18">
      <c r="D472" s="3"/>
    </row>
    <row r="473" spans="4:18">
      <c r="D473" s="3"/>
    </row>
    <row r="474" spans="4:18">
      <c r="D474" s="3"/>
    </row>
    <row r="475" spans="4:18">
      <c r="D475" s="3"/>
    </row>
    <row r="476" spans="4:18">
      <c r="D476" s="3"/>
    </row>
    <row r="477" spans="4:18">
      <c r="D477" s="3"/>
    </row>
    <row r="478" spans="4:18">
      <c r="D478" s="3"/>
    </row>
  </sheetData>
  <mergeCells count="59">
    <mergeCell ref="A280:A285"/>
    <mergeCell ref="A287:A299"/>
    <mergeCell ref="A304:A305"/>
    <mergeCell ref="A306:B306"/>
    <mergeCell ref="A231:A242"/>
    <mergeCell ref="A245:A246"/>
    <mergeCell ref="A248:A257"/>
    <mergeCell ref="A259:A264"/>
    <mergeCell ref="A267:A270"/>
    <mergeCell ref="A273:A277"/>
    <mergeCell ref="A225:A229"/>
    <mergeCell ref="A122:A127"/>
    <mergeCell ref="A129:A138"/>
    <mergeCell ref="A142:A144"/>
    <mergeCell ref="A145:B145"/>
    <mergeCell ref="A150:A158"/>
    <mergeCell ref="A164:A167"/>
    <mergeCell ref="A169:A171"/>
    <mergeCell ref="A175:A183"/>
    <mergeCell ref="A189:A192"/>
    <mergeCell ref="A198:A218"/>
    <mergeCell ref="A222:A223"/>
    <mergeCell ref="A117:A120"/>
    <mergeCell ref="A31:A39"/>
    <mergeCell ref="A41:A42"/>
    <mergeCell ref="A46:A51"/>
    <mergeCell ref="A57:A63"/>
    <mergeCell ref="A67:A70"/>
    <mergeCell ref="A76:A86"/>
    <mergeCell ref="A88:A90"/>
    <mergeCell ref="A92:A101"/>
    <mergeCell ref="A103:A111"/>
    <mergeCell ref="A113:A115"/>
    <mergeCell ref="A25:A27"/>
    <mergeCell ref="S3:S6"/>
    <mergeCell ref="E4:E6"/>
    <mergeCell ref="F4:M4"/>
    <mergeCell ref="N4:N6"/>
    <mergeCell ref="O4:R4"/>
    <mergeCell ref="F5:F6"/>
    <mergeCell ref="G5:H5"/>
    <mergeCell ref="I5:I6"/>
    <mergeCell ref="J5:J6"/>
    <mergeCell ref="K5:K6"/>
    <mergeCell ref="O5:O6"/>
    <mergeCell ref="Q5:Q6"/>
    <mergeCell ref="R5:R6"/>
    <mergeCell ref="A9:A17"/>
    <mergeCell ref="A21:A23"/>
    <mergeCell ref="A1:R1"/>
    <mergeCell ref="A2:P2"/>
    <mergeCell ref="Q2:R2"/>
    <mergeCell ref="A3:A6"/>
    <mergeCell ref="B3:B6"/>
    <mergeCell ref="C3:C6"/>
    <mergeCell ref="D3:D6"/>
    <mergeCell ref="E3:R3"/>
    <mergeCell ref="L5:L6"/>
    <mergeCell ref="M5:M6"/>
  </mergeCells>
  <printOptions horizontalCentered="1"/>
  <pageMargins left="0.27559055118110237" right="0.23622047244094491" top="0.78740157480314965" bottom="0.43307086614173229" header="0.51181102362204722" footer="0.43307086614173229"/>
  <pageSetup paperSize="9" scale="74" orientation="landscape" r:id="rId1"/>
  <headerFooter alignWithMargins="0">
    <oddFooter>Strona &amp;P z &amp;N</oddFooter>
  </headerFooter>
  <rowBreaks count="3" manualBreakCount="3">
    <brk id="42" max="18" man="1"/>
    <brk id="86" max="18" man="1"/>
    <brk id="12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33"/>
  <sheetViews>
    <sheetView view="pageBreakPreview" zoomScaleNormal="100" zoomScaleSheetLayoutView="100" workbookViewId="0">
      <selection activeCell="K301" sqref="K301"/>
    </sheetView>
  </sheetViews>
  <sheetFormatPr defaultRowHeight="12.75"/>
  <cols>
    <col min="1" max="1" width="5.75" style="1" customWidth="1"/>
    <col min="2" max="2" width="8.75" style="1" customWidth="1"/>
    <col min="3" max="3" width="60.75" style="1" customWidth="1"/>
    <col min="4" max="4" width="14.625" style="1" customWidth="1"/>
    <col min="5" max="5" width="13.875" style="1" customWidth="1"/>
    <col min="6" max="6" width="11.125" style="1" customWidth="1"/>
    <col min="7" max="7" width="13.125" style="1" customWidth="1"/>
    <col min="8" max="8" width="12.625" style="1" customWidth="1"/>
    <col min="9" max="9" width="11.125" style="1" customWidth="1"/>
    <col min="10" max="10" width="10.625" style="1" customWidth="1"/>
    <col min="11" max="16384" width="9" style="1"/>
  </cols>
  <sheetData>
    <row r="1" spans="1:17" ht="40.5" customHeight="1">
      <c r="A1" s="571" t="s">
        <v>419</v>
      </c>
      <c r="B1" s="571"/>
      <c r="C1" s="571"/>
      <c r="D1" s="571"/>
      <c r="E1" s="571"/>
      <c r="F1" s="571"/>
      <c r="G1" s="412"/>
      <c r="H1" s="412"/>
    </row>
    <row r="2" spans="1:17" ht="18.75" customHeight="1">
      <c r="A2" s="571"/>
      <c r="B2" s="571"/>
      <c r="C2" s="571"/>
      <c r="D2" s="571"/>
      <c r="E2" s="571"/>
      <c r="F2" s="571"/>
      <c r="G2" s="412"/>
      <c r="H2" s="412"/>
    </row>
    <row r="3" spans="1:17" ht="7.5" customHeight="1">
      <c r="A3" s="411"/>
    </row>
    <row r="4" spans="1:17" ht="13.5" thickBot="1">
      <c r="A4" s="410" t="s">
        <v>418</v>
      </c>
      <c r="B4" s="2"/>
      <c r="C4" s="2"/>
      <c r="F4" s="1" t="s">
        <v>0</v>
      </c>
      <c r="Q4" s="409"/>
    </row>
    <row r="5" spans="1:17" ht="16.5" customHeight="1">
      <c r="A5" s="572" t="s">
        <v>1</v>
      </c>
      <c r="B5" s="574" t="s">
        <v>2</v>
      </c>
      <c r="C5" s="574" t="s">
        <v>417</v>
      </c>
      <c r="D5" s="574" t="s">
        <v>3</v>
      </c>
      <c r="E5" s="574" t="s">
        <v>4</v>
      </c>
      <c r="F5" s="408" t="s">
        <v>416</v>
      </c>
    </row>
    <row r="6" spans="1:17" ht="14.25" customHeight="1" thickBot="1">
      <c r="A6" s="573"/>
      <c r="B6" s="575"/>
      <c r="C6" s="575"/>
      <c r="D6" s="575"/>
      <c r="E6" s="575"/>
      <c r="F6" s="407" t="s">
        <v>415</v>
      </c>
    </row>
    <row r="7" spans="1:17" ht="10.5" customHeight="1">
      <c r="A7" s="406" t="s">
        <v>5</v>
      </c>
      <c r="B7" s="405" t="s">
        <v>6</v>
      </c>
      <c r="C7" s="405" t="s">
        <v>7</v>
      </c>
      <c r="D7" s="405" t="s">
        <v>8</v>
      </c>
      <c r="E7" s="405" t="s">
        <v>9</v>
      </c>
      <c r="F7" s="404" t="s">
        <v>10</v>
      </c>
    </row>
    <row r="8" spans="1:17" ht="15">
      <c r="A8" s="582" t="s">
        <v>11</v>
      </c>
      <c r="B8" s="396" t="s">
        <v>12</v>
      </c>
      <c r="C8" s="395" t="s">
        <v>13</v>
      </c>
      <c r="D8" s="394">
        <v>20000</v>
      </c>
      <c r="E8" s="394">
        <v>19999</v>
      </c>
      <c r="F8" s="393">
        <f t="shared" ref="F8:F27" si="0">E8/D8</f>
        <v>0.99995000000000001</v>
      </c>
    </row>
    <row r="9" spans="1:17" ht="15">
      <c r="A9" s="583"/>
      <c r="B9" s="396" t="s">
        <v>14</v>
      </c>
      <c r="C9" s="395" t="s">
        <v>15</v>
      </c>
      <c r="D9" s="394">
        <v>20442320</v>
      </c>
      <c r="E9" s="394">
        <v>20436891</v>
      </c>
      <c r="F9" s="393">
        <f t="shared" si="0"/>
        <v>0.99973442349009312</v>
      </c>
    </row>
    <row r="10" spans="1:17" ht="15">
      <c r="A10" s="583"/>
      <c r="B10" s="403" t="s">
        <v>16</v>
      </c>
      <c r="C10" s="395" t="s">
        <v>17</v>
      </c>
      <c r="D10" s="394">
        <v>5203000</v>
      </c>
      <c r="E10" s="394">
        <v>4646839</v>
      </c>
      <c r="F10" s="393">
        <f t="shared" si="0"/>
        <v>0.8931076302133385</v>
      </c>
    </row>
    <row r="11" spans="1:17" ht="15">
      <c r="A11" s="583"/>
      <c r="B11" s="396" t="s">
        <v>18</v>
      </c>
      <c r="C11" s="395" t="s">
        <v>19</v>
      </c>
      <c r="D11" s="394">
        <v>8029318</v>
      </c>
      <c r="E11" s="394">
        <f>8028263+1</f>
        <v>8028264</v>
      </c>
      <c r="F11" s="393">
        <f t="shared" si="0"/>
        <v>0.99986873106781926</v>
      </c>
    </row>
    <row r="12" spans="1:17" ht="15">
      <c r="A12" s="584"/>
      <c r="B12" s="402" t="s">
        <v>36</v>
      </c>
      <c r="C12" s="395" t="s">
        <v>22</v>
      </c>
      <c r="D12" s="394">
        <v>244717</v>
      </c>
      <c r="E12" s="394">
        <v>244583</v>
      </c>
      <c r="F12" s="393">
        <f t="shared" si="0"/>
        <v>0.99945242872379114</v>
      </c>
      <c r="H12" s="3"/>
    </row>
    <row r="13" spans="1:17" ht="15">
      <c r="A13" s="401">
        <v>600</v>
      </c>
      <c r="B13" s="400">
        <v>60003</v>
      </c>
      <c r="C13" s="395" t="s">
        <v>20</v>
      </c>
      <c r="D13" s="394">
        <v>53511000</v>
      </c>
      <c r="E13" s="394">
        <v>52821801</v>
      </c>
      <c r="F13" s="393">
        <f t="shared" si="0"/>
        <v>0.9871204238380894</v>
      </c>
    </row>
    <row r="14" spans="1:17" ht="15">
      <c r="A14" s="399">
        <v>700</v>
      </c>
      <c r="B14" s="396">
        <v>70005</v>
      </c>
      <c r="C14" s="395" t="s">
        <v>126</v>
      </c>
      <c r="D14" s="394">
        <v>300000</v>
      </c>
      <c r="E14" s="394">
        <v>270655</v>
      </c>
      <c r="F14" s="393">
        <f t="shared" si="0"/>
        <v>0.90218333333333334</v>
      </c>
    </row>
    <row r="15" spans="1:17" ht="15">
      <c r="A15" s="576">
        <v>710</v>
      </c>
      <c r="B15" s="396">
        <v>71005</v>
      </c>
      <c r="C15" s="395" t="s">
        <v>37</v>
      </c>
      <c r="D15" s="394">
        <v>7000</v>
      </c>
      <c r="E15" s="394">
        <v>6150</v>
      </c>
      <c r="F15" s="393">
        <f t="shared" si="0"/>
        <v>0.87857142857142856</v>
      </c>
    </row>
    <row r="16" spans="1:17" ht="15">
      <c r="A16" s="585"/>
      <c r="B16" s="396">
        <v>71012</v>
      </c>
      <c r="C16" s="395" t="s">
        <v>21</v>
      </c>
      <c r="D16" s="394">
        <v>251000</v>
      </c>
      <c r="E16" s="394">
        <v>251000</v>
      </c>
      <c r="F16" s="393">
        <f t="shared" si="0"/>
        <v>1</v>
      </c>
      <c r="H16" s="3"/>
    </row>
    <row r="17" spans="1:11" ht="15">
      <c r="A17" s="585"/>
      <c r="B17" s="396">
        <v>71013</v>
      </c>
      <c r="C17" s="395" t="s">
        <v>414</v>
      </c>
      <c r="D17" s="394">
        <v>27000</v>
      </c>
      <c r="E17" s="394">
        <v>27000</v>
      </c>
      <c r="F17" s="393">
        <f t="shared" si="0"/>
        <v>1</v>
      </c>
      <c r="G17" s="3"/>
    </row>
    <row r="18" spans="1:11" ht="15">
      <c r="A18" s="577"/>
      <c r="B18" s="396">
        <v>71095</v>
      </c>
      <c r="C18" s="395" t="s">
        <v>22</v>
      </c>
      <c r="D18" s="394">
        <v>500000</v>
      </c>
      <c r="E18" s="394">
        <f>500000-1</f>
        <v>499999</v>
      </c>
      <c r="F18" s="393">
        <f t="shared" si="0"/>
        <v>0.99999800000000005</v>
      </c>
      <c r="H18" s="3"/>
    </row>
    <row r="19" spans="1:11" ht="15">
      <c r="A19" s="576">
        <v>750</v>
      </c>
      <c r="B19" s="396">
        <v>75011</v>
      </c>
      <c r="C19" s="395" t="s">
        <v>23</v>
      </c>
      <c r="D19" s="394">
        <v>694000</v>
      </c>
      <c r="E19" s="394">
        <v>694000</v>
      </c>
      <c r="F19" s="393">
        <f t="shared" si="0"/>
        <v>1</v>
      </c>
    </row>
    <row r="20" spans="1:11" ht="15">
      <c r="A20" s="577"/>
      <c r="B20" s="396">
        <v>75046</v>
      </c>
      <c r="C20" s="395" t="s">
        <v>24</v>
      </c>
      <c r="D20" s="394">
        <v>49000</v>
      </c>
      <c r="E20" s="394">
        <v>45988</v>
      </c>
      <c r="F20" s="393">
        <f t="shared" si="0"/>
        <v>0.93853061224489798</v>
      </c>
      <c r="G20" s="3"/>
    </row>
    <row r="21" spans="1:11" ht="15">
      <c r="A21" s="398">
        <v>752</v>
      </c>
      <c r="B21" s="396">
        <v>75212</v>
      </c>
      <c r="C21" s="395" t="s">
        <v>38</v>
      </c>
      <c r="D21" s="394">
        <v>4000</v>
      </c>
      <c r="E21" s="394">
        <v>4000</v>
      </c>
      <c r="F21" s="393">
        <f t="shared" si="0"/>
        <v>1</v>
      </c>
      <c r="G21" s="3"/>
    </row>
    <row r="22" spans="1:11" ht="15">
      <c r="A22" s="576">
        <v>851</v>
      </c>
      <c r="B22" s="396">
        <v>85141</v>
      </c>
      <c r="C22" s="395" t="s">
        <v>25</v>
      </c>
      <c r="D22" s="394">
        <v>156072</v>
      </c>
      <c r="E22" s="394">
        <v>156072</v>
      </c>
      <c r="F22" s="393">
        <f t="shared" si="0"/>
        <v>1</v>
      </c>
    </row>
    <row r="23" spans="1:11" ht="30">
      <c r="A23" s="578"/>
      <c r="B23" s="396">
        <v>85156</v>
      </c>
      <c r="C23" s="395" t="s">
        <v>413</v>
      </c>
      <c r="D23" s="394">
        <v>35248</v>
      </c>
      <c r="E23" s="394">
        <v>34819</v>
      </c>
      <c r="F23" s="393">
        <f t="shared" si="0"/>
        <v>0.98782909668633678</v>
      </c>
    </row>
    <row r="24" spans="1:11" ht="45">
      <c r="A24" s="576">
        <v>852</v>
      </c>
      <c r="B24" s="396">
        <v>85212</v>
      </c>
      <c r="C24" s="395" t="s">
        <v>26</v>
      </c>
      <c r="D24" s="394">
        <v>1379961</v>
      </c>
      <c r="E24" s="394">
        <v>1379859</v>
      </c>
      <c r="F24" s="393">
        <f t="shared" si="0"/>
        <v>0.99992608486761581</v>
      </c>
      <c r="G24" s="3"/>
    </row>
    <row r="25" spans="1:11" ht="15">
      <c r="A25" s="577"/>
      <c r="B25" s="396">
        <v>85226</v>
      </c>
      <c r="C25" s="395" t="s">
        <v>39</v>
      </c>
      <c r="D25" s="394">
        <v>789964</v>
      </c>
      <c r="E25" s="394">
        <v>787344</v>
      </c>
      <c r="F25" s="393">
        <f t="shared" si="0"/>
        <v>0.9966833931672836</v>
      </c>
      <c r="G25" s="3"/>
    </row>
    <row r="26" spans="1:11" ht="15.75" thickBot="1">
      <c r="A26" s="397">
        <v>853</v>
      </c>
      <c r="B26" s="396">
        <v>85332</v>
      </c>
      <c r="C26" s="395" t="s">
        <v>27</v>
      </c>
      <c r="D26" s="394">
        <v>32000</v>
      </c>
      <c r="E26" s="394">
        <v>32000</v>
      </c>
      <c r="F26" s="393">
        <f t="shared" si="0"/>
        <v>1</v>
      </c>
    </row>
    <row r="27" spans="1:11" ht="21.75" customHeight="1" thickBot="1">
      <c r="A27" s="579" t="s">
        <v>28</v>
      </c>
      <c r="B27" s="580"/>
      <c r="C27" s="581"/>
      <c r="D27" s="392">
        <f>SUM(D8:D26)</f>
        <v>91675600</v>
      </c>
      <c r="E27" s="392">
        <f>SUM(E8:E26)</f>
        <v>90387263</v>
      </c>
      <c r="F27" s="391">
        <f t="shared" si="0"/>
        <v>0.98594678409522274</v>
      </c>
    </row>
    <row r="28" spans="1:11">
      <c r="A28" s="381"/>
    </row>
    <row r="29" spans="1:11" ht="15">
      <c r="A29" s="390"/>
    </row>
    <row r="30" spans="1:11">
      <c r="A30" s="587"/>
      <c r="B30" s="587"/>
      <c r="C30" s="587"/>
      <c r="D30" s="587"/>
      <c r="E30" s="587"/>
      <c r="F30" s="588"/>
      <c r="G30" s="588"/>
      <c r="H30" s="588"/>
      <c r="I30" s="588"/>
      <c r="J30" s="587"/>
      <c r="K30" s="589"/>
    </row>
    <row r="31" spans="1:11">
      <c r="A31" s="587"/>
      <c r="B31" s="587"/>
      <c r="C31" s="587"/>
      <c r="D31" s="587"/>
      <c r="E31" s="587"/>
      <c r="F31" s="588"/>
      <c r="G31" s="588"/>
      <c r="H31" s="588"/>
      <c r="I31" s="588"/>
      <c r="J31" s="587"/>
      <c r="K31" s="589"/>
    </row>
    <row r="32" spans="1:11">
      <c r="A32" s="587"/>
      <c r="B32" s="587"/>
      <c r="C32" s="587"/>
      <c r="D32" s="587"/>
      <c r="E32" s="587"/>
      <c r="F32" s="587"/>
      <c r="G32" s="588"/>
      <c r="H32" s="588"/>
      <c r="I32" s="587"/>
      <c r="J32" s="587"/>
      <c r="K32" s="382"/>
    </row>
    <row r="33" spans="1:11">
      <c r="A33" s="587"/>
      <c r="B33" s="587"/>
      <c r="C33" s="587"/>
      <c r="D33" s="587"/>
      <c r="E33" s="587"/>
      <c r="F33" s="587"/>
      <c r="G33" s="588"/>
      <c r="H33" s="588"/>
      <c r="I33" s="587"/>
      <c r="J33" s="587"/>
      <c r="K33" s="382"/>
    </row>
    <row r="34" spans="1:11" ht="38.25" customHeight="1">
      <c r="A34" s="587"/>
      <c r="B34" s="587"/>
      <c r="C34" s="587"/>
      <c r="D34" s="587"/>
      <c r="E34" s="587"/>
      <c r="F34" s="587"/>
      <c r="G34" s="587"/>
      <c r="H34" s="389"/>
      <c r="I34" s="587"/>
      <c r="J34" s="587"/>
      <c r="K34" s="382"/>
    </row>
    <row r="35" spans="1:11">
      <c r="A35" s="587"/>
      <c r="B35" s="587"/>
      <c r="C35" s="587"/>
      <c r="D35" s="587"/>
      <c r="E35" s="587"/>
      <c r="F35" s="587"/>
      <c r="G35" s="587"/>
      <c r="H35" s="389"/>
      <c r="I35" s="587"/>
      <c r="J35" s="587"/>
      <c r="K35" s="382"/>
    </row>
    <row r="36" spans="1:11">
      <c r="A36" s="388"/>
      <c r="B36" s="388"/>
      <c r="C36" s="388"/>
      <c r="D36" s="388"/>
      <c r="E36" s="388"/>
      <c r="F36" s="388"/>
      <c r="G36" s="388"/>
      <c r="H36" s="388"/>
      <c r="I36" s="388"/>
      <c r="J36" s="388"/>
      <c r="K36" s="382"/>
    </row>
    <row r="37" spans="1:11" ht="30.75" customHeight="1">
      <c r="A37" s="387"/>
      <c r="B37" s="387"/>
      <c r="C37" s="386"/>
      <c r="D37" s="385"/>
      <c r="E37" s="385"/>
      <c r="F37" s="385"/>
      <c r="G37" s="385"/>
      <c r="H37" s="385"/>
      <c r="I37" s="385"/>
      <c r="J37" s="385"/>
      <c r="K37" s="382"/>
    </row>
    <row r="38" spans="1:11" ht="15">
      <c r="A38" s="386"/>
      <c r="B38" s="387"/>
      <c r="C38" s="386"/>
      <c r="D38" s="385"/>
      <c r="E38" s="385"/>
      <c r="F38" s="385"/>
      <c r="G38" s="385"/>
      <c r="H38" s="385"/>
      <c r="I38" s="385"/>
      <c r="J38" s="385"/>
      <c r="K38" s="382"/>
    </row>
    <row r="39" spans="1:11" ht="48" customHeight="1">
      <c r="A39" s="386"/>
      <c r="B39" s="387"/>
      <c r="C39" s="386"/>
      <c r="D39" s="385"/>
      <c r="E39" s="385"/>
      <c r="F39" s="385"/>
      <c r="G39" s="385"/>
      <c r="H39" s="385"/>
      <c r="I39" s="385"/>
      <c r="J39" s="385"/>
      <c r="K39" s="382"/>
    </row>
    <row r="40" spans="1:11" ht="31.5" customHeight="1">
      <c r="A40" s="386"/>
      <c r="B40" s="387"/>
      <c r="C40" s="386"/>
      <c r="D40" s="385"/>
      <c r="E40" s="385"/>
      <c r="F40" s="385"/>
      <c r="G40" s="385"/>
      <c r="H40" s="385"/>
      <c r="I40" s="385"/>
      <c r="J40" s="385"/>
      <c r="K40" s="382"/>
    </row>
    <row r="41" spans="1:11" ht="32.25" customHeight="1">
      <c r="A41" s="386"/>
      <c r="B41" s="387"/>
      <c r="C41" s="386"/>
      <c r="D41" s="385"/>
      <c r="E41" s="385"/>
      <c r="F41" s="385"/>
      <c r="G41" s="385"/>
      <c r="H41" s="385"/>
      <c r="I41" s="385"/>
      <c r="J41" s="385"/>
      <c r="K41" s="382"/>
    </row>
    <row r="42" spans="1:11" ht="15">
      <c r="A42" s="386"/>
      <c r="B42" s="387"/>
      <c r="C42" s="386"/>
      <c r="D42" s="385"/>
      <c r="E42" s="385"/>
      <c r="F42" s="385"/>
      <c r="G42" s="385"/>
      <c r="H42" s="385"/>
      <c r="I42" s="385"/>
      <c r="J42" s="385"/>
      <c r="K42" s="382"/>
    </row>
    <row r="43" spans="1:11" ht="15.75" customHeight="1">
      <c r="A43" s="386"/>
      <c r="B43" s="387"/>
      <c r="C43" s="386"/>
      <c r="D43" s="385"/>
      <c r="E43" s="385"/>
      <c r="F43" s="385"/>
      <c r="G43" s="385"/>
      <c r="H43" s="385"/>
      <c r="I43" s="385"/>
      <c r="J43" s="385"/>
      <c r="K43" s="382"/>
    </row>
    <row r="44" spans="1:11" ht="62.25" customHeight="1">
      <c r="A44" s="386"/>
      <c r="B44" s="387"/>
      <c r="C44" s="386"/>
      <c r="D44" s="385"/>
      <c r="E44" s="385"/>
      <c r="F44" s="385"/>
      <c r="G44" s="385"/>
      <c r="H44" s="385"/>
      <c r="I44" s="385"/>
      <c r="J44" s="385"/>
      <c r="K44" s="382"/>
    </row>
    <row r="45" spans="1:11" ht="15.75" customHeight="1">
      <c r="A45" s="386"/>
      <c r="B45" s="387"/>
      <c r="C45" s="386"/>
      <c r="D45" s="385"/>
      <c r="E45" s="385"/>
      <c r="F45" s="385"/>
      <c r="G45" s="385"/>
      <c r="H45" s="385"/>
      <c r="I45" s="385"/>
      <c r="J45" s="385"/>
      <c r="K45" s="382"/>
    </row>
    <row r="46" spans="1:11" ht="78" customHeight="1">
      <c r="A46" s="386"/>
      <c r="B46" s="387"/>
      <c r="C46" s="386"/>
      <c r="D46" s="385"/>
      <c r="E46" s="385"/>
      <c r="F46" s="385"/>
      <c r="G46" s="385"/>
      <c r="H46" s="385"/>
      <c r="I46" s="385"/>
      <c r="J46" s="385"/>
      <c r="K46" s="382"/>
    </row>
    <row r="47" spans="1:11" ht="17.25" customHeight="1">
      <c r="A47" s="386"/>
      <c r="B47" s="387"/>
      <c r="C47" s="386"/>
      <c r="D47" s="385"/>
      <c r="E47" s="385"/>
      <c r="F47" s="385"/>
      <c r="G47" s="385"/>
      <c r="H47" s="385"/>
      <c r="I47" s="385"/>
      <c r="J47" s="385"/>
      <c r="K47" s="382"/>
    </row>
    <row r="48" spans="1:11" ht="30.75" customHeight="1">
      <c r="A48" s="386"/>
      <c r="B48" s="386"/>
      <c r="C48" s="386"/>
      <c r="D48" s="385"/>
      <c r="E48" s="385"/>
      <c r="F48" s="385"/>
      <c r="G48" s="385"/>
      <c r="H48" s="385"/>
      <c r="I48" s="385"/>
      <c r="J48" s="385"/>
      <c r="K48" s="382"/>
    </row>
    <row r="49" spans="1:11" ht="15.75">
      <c r="A49" s="586"/>
      <c r="B49" s="586"/>
      <c r="C49" s="384"/>
      <c r="D49" s="383"/>
      <c r="E49" s="383"/>
      <c r="F49" s="383"/>
      <c r="G49" s="383"/>
      <c r="H49" s="383"/>
      <c r="I49" s="383"/>
      <c r="J49" s="383"/>
      <c r="K49" s="382"/>
    </row>
    <row r="50" spans="1:11">
      <c r="A50" s="381"/>
    </row>
    <row r="94" spans="3:3">
      <c r="C94" s="380"/>
    </row>
    <row r="98" ht="14.25" customHeight="1"/>
    <row r="163" spans="3:3">
      <c r="C163" s="380"/>
    </row>
    <row r="325" spans="3:10">
      <c r="C325" s="379"/>
    </row>
    <row r="333" spans="3:10">
      <c r="J333" s="1" t="e">
        <f>G333/D333</f>
        <v>#DIV/0!</v>
      </c>
    </row>
  </sheetData>
  <mergeCells count="25">
    <mergeCell ref="K30:K31"/>
    <mergeCell ref="F32:F35"/>
    <mergeCell ref="G32:H33"/>
    <mergeCell ref="I32:I35"/>
    <mergeCell ref="G34:G35"/>
    <mergeCell ref="A49:B49"/>
    <mergeCell ref="D30:D35"/>
    <mergeCell ref="E30:E35"/>
    <mergeCell ref="F30:I31"/>
    <mergeCell ref="J30:J35"/>
    <mergeCell ref="A30:A35"/>
    <mergeCell ref="B30:B35"/>
    <mergeCell ref="C30:C35"/>
    <mergeCell ref="A19:A20"/>
    <mergeCell ref="A22:A23"/>
    <mergeCell ref="A27:C27"/>
    <mergeCell ref="A8:A12"/>
    <mergeCell ref="A15:A18"/>
    <mergeCell ref="A24:A25"/>
    <mergeCell ref="A1:F2"/>
    <mergeCell ref="A5:A6"/>
    <mergeCell ref="B5:B6"/>
    <mergeCell ref="C5:C6"/>
    <mergeCell ref="D5:D6"/>
    <mergeCell ref="E5:E6"/>
  </mergeCells>
  <printOptions horizontalCentered="1"/>
  <pageMargins left="0.74803149606299213" right="0.74803149606299213" top="0.82677165354330717" bottom="0.78740157480314965" header="0.51181102362204722" footer="0.51181102362204722"/>
  <pageSetup paperSize="9" scale="98" orientation="landscape" r:id="rId1"/>
  <headerFooter alignWithMargins="0">
    <oddFooter>Strona &amp;P z &amp;N</oddFoot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4"/>
  <sheetViews>
    <sheetView view="pageBreakPreview" topLeftCell="A4" zoomScale="80" zoomScaleNormal="100" zoomScaleSheetLayoutView="80" workbookViewId="0">
      <selection activeCell="E30" sqref="E30:L33"/>
    </sheetView>
  </sheetViews>
  <sheetFormatPr defaultRowHeight="12.75"/>
  <cols>
    <col min="1" max="1" width="5.75" style="1" customWidth="1"/>
    <col min="2" max="2" width="9.625" style="1" customWidth="1"/>
    <col min="3" max="3" width="35.5" style="1" customWidth="1"/>
    <col min="4" max="5" width="13" style="1" customWidth="1"/>
    <col min="6" max="6" width="12.125" style="1" customWidth="1"/>
    <col min="7" max="9" width="13.625" style="1" customWidth="1"/>
    <col min="10" max="10" width="11.5" style="1" customWidth="1"/>
    <col min="11" max="11" width="14.125" style="1" customWidth="1"/>
    <col min="12" max="12" width="12" style="1" customWidth="1"/>
    <col min="13" max="13" width="9.875" style="1" customWidth="1"/>
    <col min="14" max="14" width="8" style="1" hidden="1" customWidth="1"/>
    <col min="15" max="16384" width="9" style="1"/>
  </cols>
  <sheetData>
    <row r="1" spans="1:14" ht="40.5" customHeight="1" thickBot="1">
      <c r="A1" s="436" t="s">
        <v>431</v>
      </c>
      <c r="B1" s="435"/>
      <c r="M1" s="1" t="s">
        <v>0</v>
      </c>
    </row>
    <row r="2" spans="1:14">
      <c r="A2" s="590" t="s">
        <v>1</v>
      </c>
      <c r="B2" s="593" t="s">
        <v>2</v>
      </c>
      <c r="C2" s="593" t="s">
        <v>417</v>
      </c>
      <c r="D2" s="593" t="s">
        <v>3</v>
      </c>
      <c r="E2" s="593" t="s">
        <v>4</v>
      </c>
      <c r="F2" s="609" t="s">
        <v>29</v>
      </c>
      <c r="G2" s="610"/>
      <c r="H2" s="610"/>
      <c r="I2" s="610"/>
      <c r="J2" s="610"/>
      <c r="K2" s="610"/>
      <c r="L2" s="611"/>
      <c r="M2" s="615" t="s">
        <v>416</v>
      </c>
      <c r="N2" s="589"/>
    </row>
    <row r="3" spans="1:14">
      <c r="A3" s="591"/>
      <c r="B3" s="594"/>
      <c r="C3" s="594"/>
      <c r="D3" s="594"/>
      <c r="E3" s="594"/>
      <c r="F3" s="612"/>
      <c r="G3" s="613"/>
      <c r="H3" s="613"/>
      <c r="I3" s="613"/>
      <c r="J3" s="613"/>
      <c r="K3" s="613"/>
      <c r="L3" s="614"/>
      <c r="M3" s="616"/>
      <c r="N3" s="589"/>
    </row>
    <row r="4" spans="1:14">
      <c r="A4" s="591"/>
      <c r="B4" s="594"/>
      <c r="C4" s="594"/>
      <c r="D4" s="594"/>
      <c r="E4" s="594"/>
      <c r="F4" s="596" t="s">
        <v>430</v>
      </c>
      <c r="G4" s="597" t="s">
        <v>30</v>
      </c>
      <c r="H4" s="598"/>
      <c r="I4" s="598"/>
      <c r="J4" s="598"/>
      <c r="K4" s="599"/>
      <c r="L4" s="596" t="s">
        <v>429</v>
      </c>
      <c r="M4" s="616"/>
      <c r="N4" s="418"/>
    </row>
    <row r="5" spans="1:14" ht="16.5" customHeight="1">
      <c r="A5" s="591"/>
      <c r="B5" s="594"/>
      <c r="C5" s="594"/>
      <c r="D5" s="594"/>
      <c r="E5" s="594"/>
      <c r="F5" s="594"/>
      <c r="G5" s="600"/>
      <c r="H5" s="601"/>
      <c r="I5" s="601"/>
      <c r="J5" s="601"/>
      <c r="K5" s="602"/>
      <c r="L5" s="594"/>
      <c r="M5" s="616"/>
      <c r="N5" s="418"/>
    </row>
    <row r="6" spans="1:14">
      <c r="A6" s="591"/>
      <c r="B6" s="594"/>
      <c r="C6" s="594"/>
      <c r="D6" s="594"/>
      <c r="E6" s="594"/>
      <c r="F6" s="594"/>
      <c r="G6" s="603" t="s">
        <v>428</v>
      </c>
      <c r="H6" s="605" t="s">
        <v>31</v>
      </c>
      <c r="I6" s="606"/>
      <c r="J6" s="607" t="s">
        <v>427</v>
      </c>
      <c r="K6" s="434"/>
      <c r="L6" s="594"/>
      <c r="M6" s="616"/>
      <c r="N6" s="418"/>
    </row>
    <row r="7" spans="1:14" ht="73.5" customHeight="1" thickBot="1">
      <c r="A7" s="592"/>
      <c r="B7" s="595"/>
      <c r="C7" s="595"/>
      <c r="D7" s="595"/>
      <c r="E7" s="595"/>
      <c r="F7" s="595"/>
      <c r="G7" s="604"/>
      <c r="H7" s="433" t="s">
        <v>426</v>
      </c>
      <c r="I7" s="432" t="s">
        <v>425</v>
      </c>
      <c r="J7" s="608"/>
      <c r="K7" s="431" t="s">
        <v>424</v>
      </c>
      <c r="L7" s="594"/>
      <c r="M7" s="617"/>
      <c r="N7" s="418"/>
    </row>
    <row r="8" spans="1:14">
      <c r="A8" s="430" t="s">
        <v>5</v>
      </c>
      <c r="B8" s="429" t="s">
        <v>6</v>
      </c>
      <c r="C8" s="429" t="s">
        <v>7</v>
      </c>
      <c r="D8" s="429" t="s">
        <v>8</v>
      </c>
      <c r="E8" s="429" t="s">
        <v>9</v>
      </c>
      <c r="F8" s="429" t="s">
        <v>10</v>
      </c>
      <c r="G8" s="429" t="s">
        <v>32</v>
      </c>
      <c r="H8" s="429" t="s">
        <v>33</v>
      </c>
      <c r="I8" s="429" t="s">
        <v>34</v>
      </c>
      <c r="J8" s="429" t="s">
        <v>35</v>
      </c>
      <c r="K8" s="429" t="s">
        <v>423</v>
      </c>
      <c r="L8" s="428" t="s">
        <v>422</v>
      </c>
      <c r="M8" s="427" t="s">
        <v>421</v>
      </c>
      <c r="N8" s="418"/>
    </row>
    <row r="9" spans="1:14" ht="30">
      <c r="A9" s="624" t="s">
        <v>11</v>
      </c>
      <c r="B9" s="420" t="s">
        <v>12</v>
      </c>
      <c r="C9" s="419" t="s">
        <v>13</v>
      </c>
      <c r="D9" s="394">
        <v>20000</v>
      </c>
      <c r="E9" s="394">
        <f t="shared" ref="E9:E27" si="0">SUM(F9,L9)</f>
        <v>19999</v>
      </c>
      <c r="F9" s="394">
        <f t="shared" ref="F9:F27" si="1">SUM(G9,J9,K9)</f>
        <v>19999</v>
      </c>
      <c r="G9" s="394">
        <f t="shared" ref="G9:G27" si="2">SUM(H9:I9)</f>
        <v>19999</v>
      </c>
      <c r="H9" s="394">
        <v>11099</v>
      </c>
      <c r="I9" s="394">
        <v>8900</v>
      </c>
      <c r="J9" s="394">
        <v>0</v>
      </c>
      <c r="K9" s="394">
        <v>0</v>
      </c>
      <c r="L9" s="394">
        <v>0</v>
      </c>
      <c r="M9" s="393">
        <f t="shared" ref="M9:M21" si="3">E9/D9</f>
        <v>0.99995000000000001</v>
      </c>
      <c r="N9" s="418"/>
    </row>
    <row r="10" spans="1:14" ht="15">
      <c r="A10" s="625"/>
      <c r="B10" s="420" t="s">
        <v>14</v>
      </c>
      <c r="C10" s="419" t="s">
        <v>15</v>
      </c>
      <c r="D10" s="394">
        <v>20442320</v>
      </c>
      <c r="E10" s="394">
        <f t="shared" si="0"/>
        <v>20436891</v>
      </c>
      <c r="F10" s="394">
        <f t="shared" si="1"/>
        <v>15219000</v>
      </c>
      <c r="G10" s="394">
        <f t="shared" si="2"/>
        <v>15219000</v>
      </c>
      <c r="H10" s="394">
        <v>0</v>
      </c>
      <c r="I10" s="394">
        <v>15219000</v>
      </c>
      <c r="J10" s="394">
        <v>0</v>
      </c>
      <c r="K10" s="394">
        <v>0</v>
      </c>
      <c r="L10" s="394">
        <v>5217891</v>
      </c>
      <c r="M10" s="393">
        <f t="shared" si="3"/>
        <v>0.99973442349009312</v>
      </c>
      <c r="N10" s="418"/>
    </row>
    <row r="11" spans="1:14" s="422" customFormat="1" ht="30">
      <c r="A11" s="625"/>
      <c r="B11" s="420" t="s">
        <v>16</v>
      </c>
      <c r="C11" s="419" t="s">
        <v>17</v>
      </c>
      <c r="D11" s="394">
        <v>5203000</v>
      </c>
      <c r="E11" s="394">
        <f t="shared" si="0"/>
        <v>4646839</v>
      </c>
      <c r="F11" s="394">
        <f t="shared" si="1"/>
        <v>4586839</v>
      </c>
      <c r="G11" s="394">
        <f t="shared" si="2"/>
        <v>4586839</v>
      </c>
      <c r="H11" s="394">
        <v>3163700</v>
      </c>
      <c r="I11" s="394">
        <v>1423139</v>
      </c>
      <c r="J11" s="394">
        <v>0</v>
      </c>
      <c r="K11" s="394">
        <v>0</v>
      </c>
      <c r="L11" s="394">
        <v>60000</v>
      </c>
      <c r="M11" s="393">
        <f t="shared" si="3"/>
        <v>0.8931076302133385</v>
      </c>
      <c r="N11" s="423"/>
    </row>
    <row r="12" spans="1:14" ht="15">
      <c r="A12" s="625"/>
      <c r="B12" s="420" t="s">
        <v>18</v>
      </c>
      <c r="C12" s="419" t="s">
        <v>19</v>
      </c>
      <c r="D12" s="394">
        <v>8029318</v>
      </c>
      <c r="E12" s="394">
        <f t="shared" si="0"/>
        <v>8028264</v>
      </c>
      <c r="F12" s="394">
        <f t="shared" si="1"/>
        <v>587079</v>
      </c>
      <c r="G12" s="394">
        <f t="shared" si="2"/>
        <v>587079</v>
      </c>
      <c r="H12" s="394">
        <v>0</v>
      </c>
      <c r="I12" s="394">
        <v>587079</v>
      </c>
      <c r="J12" s="394">
        <v>0</v>
      </c>
      <c r="K12" s="394">
        <v>0</v>
      </c>
      <c r="L12" s="394">
        <f>7441184+1</f>
        <v>7441185</v>
      </c>
      <c r="M12" s="393">
        <f t="shared" si="3"/>
        <v>0.99986873106781926</v>
      </c>
      <c r="N12" s="418"/>
    </row>
    <row r="13" spans="1:14" ht="15">
      <c r="A13" s="626"/>
      <c r="B13" s="426" t="s">
        <v>36</v>
      </c>
      <c r="C13" s="419" t="s">
        <v>22</v>
      </c>
      <c r="D13" s="394">
        <v>244717</v>
      </c>
      <c r="E13" s="394">
        <f t="shared" si="0"/>
        <v>244583</v>
      </c>
      <c r="F13" s="394">
        <f t="shared" si="1"/>
        <v>244583</v>
      </c>
      <c r="G13" s="394">
        <f t="shared" si="2"/>
        <v>244583</v>
      </c>
      <c r="H13" s="394">
        <v>0</v>
      </c>
      <c r="I13" s="394">
        <v>244583</v>
      </c>
      <c r="J13" s="394">
        <v>0</v>
      </c>
      <c r="K13" s="394">
        <v>0</v>
      </c>
      <c r="L13" s="394">
        <v>0</v>
      </c>
      <c r="M13" s="393">
        <f t="shared" si="3"/>
        <v>0.99945242872379114</v>
      </c>
      <c r="N13" s="418"/>
    </row>
    <row r="14" spans="1:14" s="422" customFormat="1" ht="31.5" customHeight="1">
      <c r="A14" s="425">
        <v>600</v>
      </c>
      <c r="B14" s="420">
        <v>60003</v>
      </c>
      <c r="C14" s="419" t="s">
        <v>20</v>
      </c>
      <c r="D14" s="394">
        <v>53511000</v>
      </c>
      <c r="E14" s="394">
        <f t="shared" si="0"/>
        <v>52821801</v>
      </c>
      <c r="F14" s="394">
        <f t="shared" si="1"/>
        <v>52821801</v>
      </c>
      <c r="G14" s="394">
        <f t="shared" si="2"/>
        <v>0</v>
      </c>
      <c r="H14" s="394">
        <v>0</v>
      </c>
      <c r="I14" s="394">
        <v>0</v>
      </c>
      <c r="J14" s="394">
        <v>52821801</v>
      </c>
      <c r="K14" s="394">
        <v>0</v>
      </c>
      <c r="L14" s="394">
        <v>0</v>
      </c>
      <c r="M14" s="393">
        <f t="shared" si="3"/>
        <v>0.9871204238380894</v>
      </c>
      <c r="N14" s="423"/>
    </row>
    <row r="15" spans="1:14" s="422" customFormat="1" ht="30" customHeight="1">
      <c r="A15" s="424">
        <v>700</v>
      </c>
      <c r="B15" s="420">
        <v>70005</v>
      </c>
      <c r="C15" s="419" t="s">
        <v>126</v>
      </c>
      <c r="D15" s="394">
        <v>300000</v>
      </c>
      <c r="E15" s="394">
        <f t="shared" si="0"/>
        <v>270655</v>
      </c>
      <c r="F15" s="394">
        <f t="shared" si="1"/>
        <v>270655</v>
      </c>
      <c r="G15" s="394">
        <f t="shared" si="2"/>
        <v>270655</v>
      </c>
      <c r="H15" s="394">
        <v>0</v>
      </c>
      <c r="I15" s="394">
        <v>270655</v>
      </c>
      <c r="J15" s="394">
        <v>0</v>
      </c>
      <c r="K15" s="394">
        <v>0</v>
      </c>
      <c r="L15" s="394">
        <v>0</v>
      </c>
      <c r="M15" s="393">
        <f t="shared" si="3"/>
        <v>0.90218333333333334</v>
      </c>
      <c r="N15" s="423"/>
    </row>
    <row r="16" spans="1:14" s="422" customFormat="1" ht="15">
      <c r="A16" s="618">
        <v>710</v>
      </c>
      <c r="B16" s="420">
        <v>71005</v>
      </c>
      <c r="C16" s="419" t="s">
        <v>37</v>
      </c>
      <c r="D16" s="394">
        <v>7000</v>
      </c>
      <c r="E16" s="394">
        <f t="shared" si="0"/>
        <v>6150</v>
      </c>
      <c r="F16" s="394">
        <f t="shared" si="1"/>
        <v>6150</v>
      </c>
      <c r="G16" s="394">
        <f t="shared" si="2"/>
        <v>6150</v>
      </c>
      <c r="H16" s="394">
        <v>0</v>
      </c>
      <c r="I16" s="394">
        <v>6150</v>
      </c>
      <c r="J16" s="394">
        <v>0</v>
      </c>
      <c r="K16" s="394">
        <v>0</v>
      </c>
      <c r="L16" s="394">
        <v>0</v>
      </c>
      <c r="M16" s="393">
        <f t="shared" si="3"/>
        <v>0.87857142857142856</v>
      </c>
      <c r="N16" s="423"/>
    </row>
    <row r="17" spans="1:14" s="422" customFormat="1" ht="30">
      <c r="A17" s="627"/>
      <c r="B17" s="420">
        <v>71012</v>
      </c>
      <c r="C17" s="419" t="s">
        <v>21</v>
      </c>
      <c r="D17" s="394">
        <v>251000</v>
      </c>
      <c r="E17" s="394">
        <f t="shared" si="0"/>
        <v>251000</v>
      </c>
      <c r="F17" s="394">
        <f t="shared" si="1"/>
        <v>251000</v>
      </c>
      <c r="G17" s="394">
        <f t="shared" si="2"/>
        <v>251000</v>
      </c>
      <c r="H17" s="394">
        <v>251000</v>
      </c>
      <c r="I17" s="394">
        <v>0</v>
      </c>
      <c r="J17" s="394">
        <v>0</v>
      </c>
      <c r="K17" s="394">
        <v>0</v>
      </c>
      <c r="L17" s="394">
        <v>0</v>
      </c>
      <c r="M17" s="393">
        <f t="shared" si="3"/>
        <v>1</v>
      </c>
      <c r="N17" s="423"/>
    </row>
    <row r="18" spans="1:14" s="422" customFormat="1" ht="30">
      <c r="A18" s="627"/>
      <c r="B18" s="420">
        <v>71013</v>
      </c>
      <c r="C18" s="419" t="s">
        <v>420</v>
      </c>
      <c r="D18" s="394">
        <v>27000</v>
      </c>
      <c r="E18" s="394">
        <f t="shared" si="0"/>
        <v>27000</v>
      </c>
      <c r="F18" s="394">
        <f t="shared" si="1"/>
        <v>27000</v>
      </c>
      <c r="G18" s="394">
        <f t="shared" si="2"/>
        <v>27000</v>
      </c>
      <c r="H18" s="394">
        <v>21045</v>
      </c>
      <c r="I18" s="394">
        <v>5955</v>
      </c>
      <c r="J18" s="394">
        <v>0</v>
      </c>
      <c r="K18" s="394">
        <v>0</v>
      </c>
      <c r="L18" s="394">
        <v>0</v>
      </c>
      <c r="M18" s="393">
        <f t="shared" si="3"/>
        <v>1</v>
      </c>
      <c r="N18" s="423"/>
    </row>
    <row r="19" spans="1:14" s="422" customFormat="1" ht="15">
      <c r="A19" s="619"/>
      <c r="B19" s="420">
        <v>71095</v>
      </c>
      <c r="C19" s="419" t="s">
        <v>22</v>
      </c>
      <c r="D19" s="394">
        <v>500000</v>
      </c>
      <c r="E19" s="394">
        <f t="shared" si="0"/>
        <v>499999</v>
      </c>
      <c r="F19" s="394">
        <f t="shared" si="1"/>
        <v>200000</v>
      </c>
      <c r="G19" s="394">
        <f t="shared" si="2"/>
        <v>200000</v>
      </c>
      <c r="H19" s="394">
        <v>0</v>
      </c>
      <c r="I19" s="394">
        <v>200000</v>
      </c>
      <c r="J19" s="394">
        <v>0</v>
      </c>
      <c r="K19" s="394">
        <v>0</v>
      </c>
      <c r="L19" s="394">
        <f>300000-1</f>
        <v>299999</v>
      </c>
      <c r="M19" s="393">
        <f t="shared" si="3"/>
        <v>0.99999800000000005</v>
      </c>
      <c r="N19" s="423"/>
    </row>
    <row r="20" spans="1:14" s="422" customFormat="1" ht="15">
      <c r="A20" s="618">
        <v>750</v>
      </c>
      <c r="B20" s="420">
        <v>75011</v>
      </c>
      <c r="C20" s="419" t="s">
        <v>23</v>
      </c>
      <c r="D20" s="394">
        <v>694000</v>
      </c>
      <c r="E20" s="394">
        <f t="shared" si="0"/>
        <v>694000</v>
      </c>
      <c r="F20" s="394">
        <f t="shared" si="1"/>
        <v>694000</v>
      </c>
      <c r="G20" s="394">
        <f t="shared" si="2"/>
        <v>694000</v>
      </c>
      <c r="H20" s="394">
        <v>694000</v>
      </c>
      <c r="I20" s="394">
        <v>0</v>
      </c>
      <c r="J20" s="394">
        <v>0</v>
      </c>
      <c r="K20" s="394">
        <v>0</v>
      </c>
      <c r="L20" s="394">
        <v>0</v>
      </c>
      <c r="M20" s="393">
        <f t="shared" si="3"/>
        <v>1</v>
      </c>
      <c r="N20" s="423"/>
    </row>
    <row r="21" spans="1:14" s="422" customFormat="1" ht="15">
      <c r="A21" s="619"/>
      <c r="B21" s="420">
        <v>75046</v>
      </c>
      <c r="C21" s="419" t="s">
        <v>24</v>
      </c>
      <c r="D21" s="394">
        <v>49000</v>
      </c>
      <c r="E21" s="394">
        <f t="shared" si="0"/>
        <v>45988</v>
      </c>
      <c r="F21" s="394">
        <f t="shared" si="1"/>
        <v>45988</v>
      </c>
      <c r="G21" s="394">
        <f t="shared" si="2"/>
        <v>45988</v>
      </c>
      <c r="H21" s="394">
        <v>27340</v>
      </c>
      <c r="I21" s="394">
        <v>18648</v>
      </c>
      <c r="J21" s="394">
        <v>0</v>
      </c>
      <c r="K21" s="394">
        <v>0</v>
      </c>
      <c r="L21" s="394">
        <v>0</v>
      </c>
      <c r="M21" s="393">
        <f t="shared" si="3"/>
        <v>0.93853061224489798</v>
      </c>
      <c r="N21" s="423"/>
    </row>
    <row r="22" spans="1:14" s="422" customFormat="1" ht="15">
      <c r="A22" s="421">
        <v>752</v>
      </c>
      <c r="B22" s="420">
        <v>75212</v>
      </c>
      <c r="C22" s="419" t="s">
        <v>38</v>
      </c>
      <c r="D22" s="394">
        <v>4000</v>
      </c>
      <c r="E22" s="394">
        <f t="shared" si="0"/>
        <v>4000</v>
      </c>
      <c r="F22" s="394">
        <f t="shared" si="1"/>
        <v>4000</v>
      </c>
      <c r="G22" s="394">
        <f t="shared" si="2"/>
        <v>4000</v>
      </c>
      <c r="H22" s="394">
        <v>0</v>
      </c>
      <c r="I22" s="394">
        <v>4000</v>
      </c>
      <c r="J22" s="394"/>
      <c r="K22" s="394">
        <v>0</v>
      </c>
      <c r="L22" s="394"/>
      <c r="M22" s="393"/>
      <c r="N22" s="423"/>
    </row>
    <row r="23" spans="1:14" s="422" customFormat="1" ht="15">
      <c r="A23" s="620">
        <v>851</v>
      </c>
      <c r="B23" s="420">
        <v>85141</v>
      </c>
      <c r="C23" s="419" t="s">
        <v>25</v>
      </c>
      <c r="D23" s="394">
        <v>156072</v>
      </c>
      <c r="E23" s="394">
        <f t="shared" si="0"/>
        <v>156072</v>
      </c>
      <c r="F23" s="394">
        <f t="shared" si="1"/>
        <v>0</v>
      </c>
      <c r="G23" s="394">
        <f t="shared" si="2"/>
        <v>0</v>
      </c>
      <c r="H23" s="394">
        <v>0</v>
      </c>
      <c r="I23" s="394">
        <v>0</v>
      </c>
      <c r="J23" s="394">
        <v>0</v>
      </c>
      <c r="K23" s="394">
        <v>0</v>
      </c>
      <c r="L23" s="394">
        <v>156072</v>
      </c>
      <c r="M23" s="393">
        <f t="shared" ref="M23:M28" si="4">E23/D23</f>
        <v>1</v>
      </c>
      <c r="N23" s="423"/>
    </row>
    <row r="24" spans="1:14" ht="61.5" customHeight="1">
      <c r="A24" s="621"/>
      <c r="B24" s="420">
        <v>85156</v>
      </c>
      <c r="C24" s="419" t="s">
        <v>413</v>
      </c>
      <c r="D24" s="394">
        <v>35248</v>
      </c>
      <c r="E24" s="394">
        <f t="shared" si="0"/>
        <v>34819</v>
      </c>
      <c r="F24" s="394">
        <f t="shared" si="1"/>
        <v>34819</v>
      </c>
      <c r="G24" s="394">
        <f t="shared" si="2"/>
        <v>34819</v>
      </c>
      <c r="H24" s="394">
        <v>0</v>
      </c>
      <c r="I24" s="394">
        <v>34819</v>
      </c>
      <c r="J24" s="394">
        <v>0</v>
      </c>
      <c r="K24" s="394">
        <v>0</v>
      </c>
      <c r="L24" s="394">
        <v>0</v>
      </c>
      <c r="M24" s="393">
        <f t="shared" si="4"/>
        <v>0.98782909668633678</v>
      </c>
      <c r="N24" s="418"/>
    </row>
    <row r="25" spans="1:14" ht="60">
      <c r="A25" s="618">
        <v>852</v>
      </c>
      <c r="B25" s="420">
        <v>85212</v>
      </c>
      <c r="C25" s="419" t="s">
        <v>26</v>
      </c>
      <c r="D25" s="394">
        <v>1379961</v>
      </c>
      <c r="E25" s="394">
        <f t="shared" si="0"/>
        <v>1379859</v>
      </c>
      <c r="F25" s="394">
        <f t="shared" si="1"/>
        <v>1379859</v>
      </c>
      <c r="G25" s="394">
        <f t="shared" si="2"/>
        <v>1379026</v>
      </c>
      <c r="H25" s="394">
        <v>1033046</v>
      </c>
      <c r="I25" s="394">
        <v>345980</v>
      </c>
      <c r="J25" s="394">
        <v>0</v>
      </c>
      <c r="K25" s="394">
        <v>833</v>
      </c>
      <c r="L25" s="394">
        <v>0</v>
      </c>
      <c r="M25" s="393">
        <f t="shared" si="4"/>
        <v>0.99992608486761581</v>
      </c>
      <c r="N25" s="418"/>
    </row>
    <row r="26" spans="1:14" ht="15">
      <c r="A26" s="619"/>
      <c r="B26" s="420">
        <v>85226</v>
      </c>
      <c r="C26" s="419" t="s">
        <v>39</v>
      </c>
      <c r="D26" s="394">
        <v>789964</v>
      </c>
      <c r="E26" s="394">
        <f t="shared" si="0"/>
        <v>787344</v>
      </c>
      <c r="F26" s="394">
        <f t="shared" si="1"/>
        <v>787344</v>
      </c>
      <c r="G26" s="394">
        <f t="shared" si="2"/>
        <v>786549</v>
      </c>
      <c r="H26" s="394">
        <v>660816</v>
      </c>
      <c r="I26" s="394">
        <v>125733</v>
      </c>
      <c r="J26" s="394">
        <v>0</v>
      </c>
      <c r="K26" s="394">
        <v>795</v>
      </c>
      <c r="L26" s="394">
        <v>0</v>
      </c>
      <c r="M26" s="393">
        <f t="shared" si="4"/>
        <v>0.9966833931672836</v>
      </c>
      <c r="N26" s="418"/>
    </row>
    <row r="27" spans="1:14" ht="15.75" thickBot="1">
      <c r="A27" s="421">
        <v>853</v>
      </c>
      <c r="B27" s="420">
        <v>85332</v>
      </c>
      <c r="C27" s="419" t="s">
        <v>27</v>
      </c>
      <c r="D27" s="394">
        <v>32000</v>
      </c>
      <c r="E27" s="394">
        <f t="shared" si="0"/>
        <v>32000</v>
      </c>
      <c r="F27" s="394">
        <f t="shared" si="1"/>
        <v>32000</v>
      </c>
      <c r="G27" s="394">
        <f t="shared" si="2"/>
        <v>32000</v>
      </c>
      <c r="H27" s="394">
        <v>32000</v>
      </c>
      <c r="I27" s="394">
        <v>0</v>
      </c>
      <c r="J27" s="394">
        <v>0</v>
      </c>
      <c r="K27" s="394">
        <v>0</v>
      </c>
      <c r="L27" s="394">
        <v>0</v>
      </c>
      <c r="M27" s="393">
        <f t="shared" si="4"/>
        <v>1</v>
      </c>
      <c r="N27" s="418"/>
    </row>
    <row r="28" spans="1:14" ht="27" customHeight="1" thickBot="1">
      <c r="A28" s="622" t="s">
        <v>28</v>
      </c>
      <c r="B28" s="623"/>
      <c r="C28" s="623"/>
      <c r="D28" s="417">
        <f t="shared" ref="D28:I28" si="5">SUM(D9:D27)</f>
        <v>91675600</v>
      </c>
      <c r="E28" s="417">
        <f t="shared" si="5"/>
        <v>90387263</v>
      </c>
      <c r="F28" s="417">
        <f t="shared" si="5"/>
        <v>77212116</v>
      </c>
      <c r="G28" s="417">
        <f t="shared" si="5"/>
        <v>24388687</v>
      </c>
      <c r="H28" s="417">
        <f t="shared" si="5"/>
        <v>5894046</v>
      </c>
      <c r="I28" s="417">
        <f t="shared" si="5"/>
        <v>18494641</v>
      </c>
      <c r="J28" s="417">
        <f>SUM(J9:J26)</f>
        <v>52821801</v>
      </c>
      <c r="K28" s="417">
        <f>SUM(K9:K27)</f>
        <v>1628</v>
      </c>
      <c r="L28" s="417">
        <f>SUM(L9:L27)</f>
        <v>13175147</v>
      </c>
      <c r="M28" s="416">
        <f t="shared" si="4"/>
        <v>0.98594678409522274</v>
      </c>
      <c r="N28" s="415"/>
    </row>
    <row r="29" spans="1:14">
      <c r="A29" s="381"/>
      <c r="E29" s="3"/>
      <c r="F29" s="3"/>
    </row>
    <row r="30" spans="1:14">
      <c r="D30" s="414"/>
      <c r="E30" s="414"/>
      <c r="F30" s="414"/>
      <c r="G30" s="414"/>
      <c r="H30" s="414"/>
      <c r="I30" s="414"/>
      <c r="J30" s="414"/>
      <c r="K30" s="414"/>
      <c r="L30" s="414"/>
    </row>
    <row r="31" spans="1:14">
      <c r="E31" s="413"/>
    </row>
    <row r="32" spans="1:14">
      <c r="E32" s="413"/>
      <c r="F32" s="3"/>
      <c r="G32" s="3"/>
    </row>
    <row r="34" spans="10:10">
      <c r="J34" s="3"/>
    </row>
    <row r="96" spans="3:3">
      <c r="C96" s="380"/>
    </row>
    <row r="99" ht="14.25" customHeight="1"/>
    <row r="165" spans="3:3">
      <c r="C165" s="380"/>
    </row>
    <row r="327" spans="3:10">
      <c r="C327" s="379"/>
    </row>
    <row r="334" spans="3:10">
      <c r="J334" s="1" t="e">
        <f>G334/D334</f>
        <v>#DIV/0!</v>
      </c>
    </row>
  </sheetData>
  <mergeCells count="20">
    <mergeCell ref="A20:A21"/>
    <mergeCell ref="A23:A24"/>
    <mergeCell ref="A28:C28"/>
    <mergeCell ref="A9:A13"/>
    <mergeCell ref="A16:A19"/>
    <mergeCell ref="A25:A26"/>
    <mergeCell ref="N2:N3"/>
    <mergeCell ref="F4:F7"/>
    <mergeCell ref="G4:K5"/>
    <mergeCell ref="L4:L7"/>
    <mergeCell ref="G6:G7"/>
    <mergeCell ref="H6:I6"/>
    <mergeCell ref="J6:J7"/>
    <mergeCell ref="F2:L3"/>
    <mergeCell ref="M2:M7"/>
    <mergeCell ref="A2:A7"/>
    <mergeCell ref="B2:B7"/>
    <mergeCell ref="C2:C7"/>
    <mergeCell ref="D2:D7"/>
    <mergeCell ref="E2:E7"/>
  </mergeCells>
  <printOptions horizontalCentered="1"/>
  <pageMargins left="0.39370078740157483" right="0.39370078740157483" top="0.98425196850393704" bottom="0.70866141732283472" header="0.51181102362204722" footer="0.51181102362204722"/>
  <pageSetup paperSize="9" scale="70" orientation="landscape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0"/>
  <sheetViews>
    <sheetView view="pageBreakPreview" zoomScaleNormal="90" zoomScaleSheetLayoutView="100" workbookViewId="0">
      <selection activeCell="K301" sqref="K301"/>
    </sheetView>
  </sheetViews>
  <sheetFormatPr defaultRowHeight="12.75"/>
  <cols>
    <col min="1" max="1" width="5.875" style="437" bestFit="1" customWidth="1"/>
    <col min="2" max="2" width="9.5" style="437" bestFit="1" customWidth="1"/>
    <col min="3" max="3" width="34.625" style="437" customWidth="1"/>
    <col min="4" max="4" width="30.625" style="437" customWidth="1"/>
    <col min="5" max="5" width="14.5" style="437" customWidth="1"/>
    <col min="6" max="6" width="13.875" style="437" customWidth="1"/>
    <col min="7" max="7" width="14.25" style="437" customWidth="1"/>
    <col min="8" max="8" width="14.875" style="437" customWidth="1"/>
    <col min="9" max="257" width="9" style="1"/>
    <col min="258" max="258" width="9.125" style="1" customWidth="1"/>
    <col min="259" max="259" width="12.375" style="1" customWidth="1"/>
    <col min="260" max="260" width="55.375" style="1" customWidth="1"/>
    <col min="261" max="261" width="18.75" style="1" customWidth="1"/>
    <col min="262" max="262" width="17.125" style="1" customWidth="1"/>
    <col min="263" max="263" width="18.75" style="1" customWidth="1"/>
    <col min="264" max="264" width="18.625" style="1" customWidth="1"/>
    <col min="265" max="513" width="9" style="1"/>
    <col min="514" max="514" width="9.125" style="1" customWidth="1"/>
    <col min="515" max="515" width="12.375" style="1" customWidth="1"/>
    <col min="516" max="516" width="55.375" style="1" customWidth="1"/>
    <col min="517" max="517" width="18.75" style="1" customWidth="1"/>
    <col min="518" max="518" width="17.125" style="1" customWidth="1"/>
    <col min="519" max="519" width="18.75" style="1" customWidth="1"/>
    <col min="520" max="520" width="18.625" style="1" customWidth="1"/>
    <col min="521" max="769" width="9" style="1"/>
    <col min="770" max="770" width="9.125" style="1" customWidth="1"/>
    <col min="771" max="771" width="12.375" style="1" customWidth="1"/>
    <col min="772" max="772" width="55.375" style="1" customWidth="1"/>
    <col min="773" max="773" width="18.75" style="1" customWidth="1"/>
    <col min="774" max="774" width="17.125" style="1" customWidth="1"/>
    <col min="775" max="775" width="18.75" style="1" customWidth="1"/>
    <col min="776" max="776" width="18.625" style="1" customWidth="1"/>
    <col min="777" max="1025" width="9" style="1"/>
    <col min="1026" max="1026" width="9.125" style="1" customWidth="1"/>
    <col min="1027" max="1027" width="12.375" style="1" customWidth="1"/>
    <col min="1028" max="1028" width="55.375" style="1" customWidth="1"/>
    <col min="1029" max="1029" width="18.75" style="1" customWidth="1"/>
    <col min="1030" max="1030" width="17.125" style="1" customWidth="1"/>
    <col min="1031" max="1031" width="18.75" style="1" customWidth="1"/>
    <col min="1032" max="1032" width="18.625" style="1" customWidth="1"/>
    <col min="1033" max="1281" width="9" style="1"/>
    <col min="1282" max="1282" width="9.125" style="1" customWidth="1"/>
    <col min="1283" max="1283" width="12.375" style="1" customWidth="1"/>
    <col min="1284" max="1284" width="55.375" style="1" customWidth="1"/>
    <col min="1285" max="1285" width="18.75" style="1" customWidth="1"/>
    <col min="1286" max="1286" width="17.125" style="1" customWidth="1"/>
    <col min="1287" max="1287" width="18.75" style="1" customWidth="1"/>
    <col min="1288" max="1288" width="18.625" style="1" customWidth="1"/>
    <col min="1289" max="1537" width="9" style="1"/>
    <col min="1538" max="1538" width="9.125" style="1" customWidth="1"/>
    <col min="1539" max="1539" width="12.375" style="1" customWidth="1"/>
    <col min="1540" max="1540" width="55.375" style="1" customWidth="1"/>
    <col min="1541" max="1541" width="18.75" style="1" customWidth="1"/>
    <col min="1542" max="1542" width="17.125" style="1" customWidth="1"/>
    <col min="1543" max="1543" width="18.75" style="1" customWidth="1"/>
    <col min="1544" max="1544" width="18.625" style="1" customWidth="1"/>
    <col min="1545" max="1793" width="9" style="1"/>
    <col min="1794" max="1794" width="9.125" style="1" customWidth="1"/>
    <col min="1795" max="1795" width="12.375" style="1" customWidth="1"/>
    <col min="1796" max="1796" width="55.375" style="1" customWidth="1"/>
    <col min="1797" max="1797" width="18.75" style="1" customWidth="1"/>
    <col min="1798" max="1798" width="17.125" style="1" customWidth="1"/>
    <col min="1799" max="1799" width="18.75" style="1" customWidth="1"/>
    <col min="1800" max="1800" width="18.625" style="1" customWidth="1"/>
    <col min="1801" max="2049" width="9" style="1"/>
    <col min="2050" max="2050" width="9.125" style="1" customWidth="1"/>
    <col min="2051" max="2051" width="12.375" style="1" customWidth="1"/>
    <col min="2052" max="2052" width="55.375" style="1" customWidth="1"/>
    <col min="2053" max="2053" width="18.75" style="1" customWidth="1"/>
    <col min="2054" max="2054" width="17.125" style="1" customWidth="1"/>
    <col min="2055" max="2055" width="18.75" style="1" customWidth="1"/>
    <col min="2056" max="2056" width="18.625" style="1" customWidth="1"/>
    <col min="2057" max="2305" width="9" style="1"/>
    <col min="2306" max="2306" width="9.125" style="1" customWidth="1"/>
    <col min="2307" max="2307" width="12.375" style="1" customWidth="1"/>
    <col min="2308" max="2308" width="55.375" style="1" customWidth="1"/>
    <col min="2309" max="2309" width="18.75" style="1" customWidth="1"/>
    <col min="2310" max="2310" width="17.125" style="1" customWidth="1"/>
    <col min="2311" max="2311" width="18.75" style="1" customWidth="1"/>
    <col min="2312" max="2312" width="18.625" style="1" customWidth="1"/>
    <col min="2313" max="2561" width="9" style="1"/>
    <col min="2562" max="2562" width="9.125" style="1" customWidth="1"/>
    <col min="2563" max="2563" width="12.375" style="1" customWidth="1"/>
    <col min="2564" max="2564" width="55.375" style="1" customWidth="1"/>
    <col min="2565" max="2565" width="18.75" style="1" customWidth="1"/>
    <col min="2566" max="2566" width="17.125" style="1" customWidth="1"/>
    <col min="2567" max="2567" width="18.75" style="1" customWidth="1"/>
    <col min="2568" max="2568" width="18.625" style="1" customWidth="1"/>
    <col min="2569" max="2817" width="9" style="1"/>
    <col min="2818" max="2818" width="9.125" style="1" customWidth="1"/>
    <col min="2819" max="2819" width="12.375" style="1" customWidth="1"/>
    <col min="2820" max="2820" width="55.375" style="1" customWidth="1"/>
    <col min="2821" max="2821" width="18.75" style="1" customWidth="1"/>
    <col min="2822" max="2822" width="17.125" style="1" customWidth="1"/>
    <col min="2823" max="2823" width="18.75" style="1" customWidth="1"/>
    <col min="2824" max="2824" width="18.625" style="1" customWidth="1"/>
    <col min="2825" max="3073" width="9" style="1"/>
    <col min="3074" max="3074" width="9.125" style="1" customWidth="1"/>
    <col min="3075" max="3075" width="12.375" style="1" customWidth="1"/>
    <col min="3076" max="3076" width="55.375" style="1" customWidth="1"/>
    <col min="3077" max="3077" width="18.75" style="1" customWidth="1"/>
    <col min="3078" max="3078" width="17.125" style="1" customWidth="1"/>
    <col min="3079" max="3079" width="18.75" style="1" customWidth="1"/>
    <col min="3080" max="3080" width="18.625" style="1" customWidth="1"/>
    <col min="3081" max="3329" width="9" style="1"/>
    <col min="3330" max="3330" width="9.125" style="1" customWidth="1"/>
    <col min="3331" max="3331" width="12.375" style="1" customWidth="1"/>
    <col min="3332" max="3332" width="55.375" style="1" customWidth="1"/>
    <col min="3333" max="3333" width="18.75" style="1" customWidth="1"/>
    <col min="3334" max="3334" width="17.125" style="1" customWidth="1"/>
    <col min="3335" max="3335" width="18.75" style="1" customWidth="1"/>
    <col min="3336" max="3336" width="18.625" style="1" customWidth="1"/>
    <col min="3337" max="3585" width="9" style="1"/>
    <col min="3586" max="3586" width="9.125" style="1" customWidth="1"/>
    <col min="3587" max="3587" width="12.375" style="1" customWidth="1"/>
    <col min="3588" max="3588" width="55.375" style="1" customWidth="1"/>
    <col min="3589" max="3589" width="18.75" style="1" customWidth="1"/>
    <col min="3590" max="3590" width="17.125" style="1" customWidth="1"/>
    <col min="3591" max="3591" width="18.75" style="1" customWidth="1"/>
    <col min="3592" max="3592" width="18.625" style="1" customWidth="1"/>
    <col min="3593" max="3841" width="9" style="1"/>
    <col min="3842" max="3842" width="9.125" style="1" customWidth="1"/>
    <col min="3843" max="3843" width="12.375" style="1" customWidth="1"/>
    <col min="3844" max="3844" width="55.375" style="1" customWidth="1"/>
    <col min="3845" max="3845" width="18.75" style="1" customWidth="1"/>
    <col min="3846" max="3846" width="17.125" style="1" customWidth="1"/>
    <col min="3847" max="3847" width="18.75" style="1" customWidth="1"/>
    <col min="3848" max="3848" width="18.625" style="1" customWidth="1"/>
    <col min="3849" max="4097" width="9" style="1"/>
    <col min="4098" max="4098" width="9.125" style="1" customWidth="1"/>
    <col min="4099" max="4099" width="12.375" style="1" customWidth="1"/>
    <col min="4100" max="4100" width="55.375" style="1" customWidth="1"/>
    <col min="4101" max="4101" width="18.75" style="1" customWidth="1"/>
    <col min="4102" max="4102" width="17.125" style="1" customWidth="1"/>
    <col min="4103" max="4103" width="18.75" style="1" customWidth="1"/>
    <col min="4104" max="4104" width="18.625" style="1" customWidth="1"/>
    <col min="4105" max="4353" width="9" style="1"/>
    <col min="4354" max="4354" width="9.125" style="1" customWidth="1"/>
    <col min="4355" max="4355" width="12.375" style="1" customWidth="1"/>
    <col min="4356" max="4356" width="55.375" style="1" customWidth="1"/>
    <col min="4357" max="4357" width="18.75" style="1" customWidth="1"/>
    <col min="4358" max="4358" width="17.125" style="1" customWidth="1"/>
    <col min="4359" max="4359" width="18.75" style="1" customWidth="1"/>
    <col min="4360" max="4360" width="18.625" style="1" customWidth="1"/>
    <col min="4361" max="4609" width="9" style="1"/>
    <col min="4610" max="4610" width="9.125" style="1" customWidth="1"/>
    <col min="4611" max="4611" width="12.375" style="1" customWidth="1"/>
    <col min="4612" max="4612" width="55.375" style="1" customWidth="1"/>
    <col min="4613" max="4613" width="18.75" style="1" customWidth="1"/>
    <col min="4614" max="4614" width="17.125" style="1" customWidth="1"/>
    <col min="4615" max="4615" width="18.75" style="1" customWidth="1"/>
    <col min="4616" max="4616" width="18.625" style="1" customWidth="1"/>
    <col min="4617" max="4865" width="9" style="1"/>
    <col min="4866" max="4866" width="9.125" style="1" customWidth="1"/>
    <col min="4867" max="4867" width="12.375" style="1" customWidth="1"/>
    <col min="4868" max="4868" width="55.375" style="1" customWidth="1"/>
    <col min="4869" max="4869" width="18.75" style="1" customWidth="1"/>
    <col min="4870" max="4870" width="17.125" style="1" customWidth="1"/>
    <col min="4871" max="4871" width="18.75" style="1" customWidth="1"/>
    <col min="4872" max="4872" width="18.625" style="1" customWidth="1"/>
    <col min="4873" max="5121" width="9" style="1"/>
    <col min="5122" max="5122" width="9.125" style="1" customWidth="1"/>
    <col min="5123" max="5123" width="12.375" style="1" customWidth="1"/>
    <col min="5124" max="5124" width="55.375" style="1" customWidth="1"/>
    <col min="5125" max="5125" width="18.75" style="1" customWidth="1"/>
    <col min="5126" max="5126" width="17.125" style="1" customWidth="1"/>
    <col min="5127" max="5127" width="18.75" style="1" customWidth="1"/>
    <col min="5128" max="5128" width="18.625" style="1" customWidth="1"/>
    <col min="5129" max="5377" width="9" style="1"/>
    <col min="5378" max="5378" width="9.125" style="1" customWidth="1"/>
    <col min="5379" max="5379" width="12.375" style="1" customWidth="1"/>
    <col min="5380" max="5380" width="55.375" style="1" customWidth="1"/>
    <col min="5381" max="5381" width="18.75" style="1" customWidth="1"/>
    <col min="5382" max="5382" width="17.125" style="1" customWidth="1"/>
    <col min="5383" max="5383" width="18.75" style="1" customWidth="1"/>
    <col min="5384" max="5384" width="18.625" style="1" customWidth="1"/>
    <col min="5385" max="5633" width="9" style="1"/>
    <col min="5634" max="5634" width="9.125" style="1" customWidth="1"/>
    <col min="5635" max="5635" width="12.375" style="1" customWidth="1"/>
    <col min="5636" max="5636" width="55.375" style="1" customWidth="1"/>
    <col min="5637" max="5637" width="18.75" style="1" customWidth="1"/>
    <col min="5638" max="5638" width="17.125" style="1" customWidth="1"/>
    <col min="5639" max="5639" width="18.75" style="1" customWidth="1"/>
    <col min="5640" max="5640" width="18.625" style="1" customWidth="1"/>
    <col min="5641" max="5889" width="9" style="1"/>
    <col min="5890" max="5890" width="9.125" style="1" customWidth="1"/>
    <col min="5891" max="5891" width="12.375" style="1" customWidth="1"/>
    <col min="5892" max="5892" width="55.375" style="1" customWidth="1"/>
    <col min="5893" max="5893" width="18.75" style="1" customWidth="1"/>
    <col min="5894" max="5894" width="17.125" style="1" customWidth="1"/>
    <col min="5895" max="5895" width="18.75" style="1" customWidth="1"/>
    <col min="5896" max="5896" width="18.625" style="1" customWidth="1"/>
    <col min="5897" max="6145" width="9" style="1"/>
    <col min="6146" max="6146" width="9.125" style="1" customWidth="1"/>
    <col min="6147" max="6147" width="12.375" style="1" customWidth="1"/>
    <col min="6148" max="6148" width="55.375" style="1" customWidth="1"/>
    <col min="6149" max="6149" width="18.75" style="1" customWidth="1"/>
    <col min="6150" max="6150" width="17.125" style="1" customWidth="1"/>
    <col min="6151" max="6151" width="18.75" style="1" customWidth="1"/>
    <col min="6152" max="6152" width="18.625" style="1" customWidth="1"/>
    <col min="6153" max="6401" width="9" style="1"/>
    <col min="6402" max="6402" width="9.125" style="1" customWidth="1"/>
    <col min="6403" max="6403" width="12.375" style="1" customWidth="1"/>
    <col min="6404" max="6404" width="55.375" style="1" customWidth="1"/>
    <col min="6405" max="6405" width="18.75" style="1" customWidth="1"/>
    <col min="6406" max="6406" width="17.125" style="1" customWidth="1"/>
    <col min="6407" max="6407" width="18.75" style="1" customWidth="1"/>
    <col min="6408" max="6408" width="18.625" style="1" customWidth="1"/>
    <col min="6409" max="6657" width="9" style="1"/>
    <col min="6658" max="6658" width="9.125" style="1" customWidth="1"/>
    <col min="6659" max="6659" width="12.375" style="1" customWidth="1"/>
    <col min="6660" max="6660" width="55.375" style="1" customWidth="1"/>
    <col min="6661" max="6661" width="18.75" style="1" customWidth="1"/>
    <col min="6662" max="6662" width="17.125" style="1" customWidth="1"/>
    <col min="6663" max="6663" width="18.75" style="1" customWidth="1"/>
    <col min="6664" max="6664" width="18.625" style="1" customWidth="1"/>
    <col min="6665" max="6913" width="9" style="1"/>
    <col min="6914" max="6914" width="9.125" style="1" customWidth="1"/>
    <col min="6915" max="6915" width="12.375" style="1" customWidth="1"/>
    <col min="6916" max="6916" width="55.375" style="1" customWidth="1"/>
    <col min="6917" max="6917" width="18.75" style="1" customWidth="1"/>
    <col min="6918" max="6918" width="17.125" style="1" customWidth="1"/>
    <col min="6919" max="6919" width="18.75" style="1" customWidth="1"/>
    <col min="6920" max="6920" width="18.625" style="1" customWidth="1"/>
    <col min="6921" max="7169" width="9" style="1"/>
    <col min="7170" max="7170" width="9.125" style="1" customWidth="1"/>
    <col min="7171" max="7171" width="12.375" style="1" customWidth="1"/>
    <col min="7172" max="7172" width="55.375" style="1" customWidth="1"/>
    <col min="7173" max="7173" width="18.75" style="1" customWidth="1"/>
    <col min="7174" max="7174" width="17.125" style="1" customWidth="1"/>
    <col min="7175" max="7175" width="18.75" style="1" customWidth="1"/>
    <col min="7176" max="7176" width="18.625" style="1" customWidth="1"/>
    <col min="7177" max="7425" width="9" style="1"/>
    <col min="7426" max="7426" width="9.125" style="1" customWidth="1"/>
    <col min="7427" max="7427" width="12.375" style="1" customWidth="1"/>
    <col min="7428" max="7428" width="55.375" style="1" customWidth="1"/>
    <col min="7429" max="7429" width="18.75" style="1" customWidth="1"/>
    <col min="7430" max="7430" width="17.125" style="1" customWidth="1"/>
    <col min="7431" max="7431" width="18.75" style="1" customWidth="1"/>
    <col min="7432" max="7432" width="18.625" style="1" customWidth="1"/>
    <col min="7433" max="7681" width="9" style="1"/>
    <col min="7682" max="7682" width="9.125" style="1" customWidth="1"/>
    <col min="7683" max="7683" width="12.375" style="1" customWidth="1"/>
    <col min="7684" max="7684" width="55.375" style="1" customWidth="1"/>
    <col min="7685" max="7685" width="18.75" style="1" customWidth="1"/>
    <col min="7686" max="7686" width="17.125" style="1" customWidth="1"/>
    <col min="7687" max="7687" width="18.75" style="1" customWidth="1"/>
    <col min="7688" max="7688" width="18.625" style="1" customWidth="1"/>
    <col min="7689" max="7937" width="9" style="1"/>
    <col min="7938" max="7938" width="9.125" style="1" customWidth="1"/>
    <col min="7939" max="7939" width="12.375" style="1" customWidth="1"/>
    <col min="7940" max="7940" width="55.375" style="1" customWidth="1"/>
    <col min="7941" max="7941" width="18.75" style="1" customWidth="1"/>
    <col min="7942" max="7942" width="17.125" style="1" customWidth="1"/>
    <col min="7943" max="7943" width="18.75" style="1" customWidth="1"/>
    <col min="7944" max="7944" width="18.625" style="1" customWidth="1"/>
    <col min="7945" max="8193" width="9" style="1"/>
    <col min="8194" max="8194" width="9.125" style="1" customWidth="1"/>
    <col min="8195" max="8195" width="12.375" style="1" customWidth="1"/>
    <col min="8196" max="8196" width="55.375" style="1" customWidth="1"/>
    <col min="8197" max="8197" width="18.75" style="1" customWidth="1"/>
    <col min="8198" max="8198" width="17.125" style="1" customWidth="1"/>
    <col min="8199" max="8199" width="18.75" style="1" customWidth="1"/>
    <col min="8200" max="8200" width="18.625" style="1" customWidth="1"/>
    <col min="8201" max="8449" width="9" style="1"/>
    <col min="8450" max="8450" width="9.125" style="1" customWidth="1"/>
    <col min="8451" max="8451" width="12.375" style="1" customWidth="1"/>
    <col min="8452" max="8452" width="55.375" style="1" customWidth="1"/>
    <col min="8453" max="8453" width="18.75" style="1" customWidth="1"/>
    <col min="8454" max="8454" width="17.125" style="1" customWidth="1"/>
    <col min="8455" max="8455" width="18.75" style="1" customWidth="1"/>
    <col min="8456" max="8456" width="18.625" style="1" customWidth="1"/>
    <col min="8457" max="8705" width="9" style="1"/>
    <col min="8706" max="8706" width="9.125" style="1" customWidth="1"/>
    <col min="8707" max="8707" width="12.375" style="1" customWidth="1"/>
    <col min="8708" max="8708" width="55.375" style="1" customWidth="1"/>
    <col min="8709" max="8709" width="18.75" style="1" customWidth="1"/>
    <col min="8710" max="8710" width="17.125" style="1" customWidth="1"/>
    <col min="8711" max="8711" width="18.75" style="1" customWidth="1"/>
    <col min="8712" max="8712" width="18.625" style="1" customWidth="1"/>
    <col min="8713" max="8961" width="9" style="1"/>
    <col min="8962" max="8962" width="9.125" style="1" customWidth="1"/>
    <col min="8963" max="8963" width="12.375" style="1" customWidth="1"/>
    <col min="8964" max="8964" width="55.375" style="1" customWidth="1"/>
    <col min="8965" max="8965" width="18.75" style="1" customWidth="1"/>
    <col min="8966" max="8966" width="17.125" style="1" customWidth="1"/>
    <col min="8967" max="8967" width="18.75" style="1" customWidth="1"/>
    <col min="8968" max="8968" width="18.625" style="1" customWidth="1"/>
    <col min="8969" max="9217" width="9" style="1"/>
    <col min="9218" max="9218" width="9.125" style="1" customWidth="1"/>
    <col min="9219" max="9219" width="12.375" style="1" customWidth="1"/>
    <col min="9220" max="9220" width="55.375" style="1" customWidth="1"/>
    <col min="9221" max="9221" width="18.75" style="1" customWidth="1"/>
    <col min="9222" max="9222" width="17.125" style="1" customWidth="1"/>
    <col min="9223" max="9223" width="18.75" style="1" customWidth="1"/>
    <col min="9224" max="9224" width="18.625" style="1" customWidth="1"/>
    <col min="9225" max="9473" width="9" style="1"/>
    <col min="9474" max="9474" width="9.125" style="1" customWidth="1"/>
    <col min="9475" max="9475" width="12.375" style="1" customWidth="1"/>
    <col min="9476" max="9476" width="55.375" style="1" customWidth="1"/>
    <col min="9477" max="9477" width="18.75" style="1" customWidth="1"/>
    <col min="9478" max="9478" width="17.125" style="1" customWidth="1"/>
    <col min="9479" max="9479" width="18.75" style="1" customWidth="1"/>
    <col min="9480" max="9480" width="18.625" style="1" customWidth="1"/>
    <col min="9481" max="9729" width="9" style="1"/>
    <col min="9730" max="9730" width="9.125" style="1" customWidth="1"/>
    <col min="9731" max="9731" width="12.375" style="1" customWidth="1"/>
    <col min="9732" max="9732" width="55.375" style="1" customWidth="1"/>
    <col min="9733" max="9733" width="18.75" style="1" customWidth="1"/>
    <col min="9734" max="9734" width="17.125" style="1" customWidth="1"/>
    <col min="9735" max="9735" width="18.75" style="1" customWidth="1"/>
    <col min="9736" max="9736" width="18.625" style="1" customWidth="1"/>
    <col min="9737" max="9985" width="9" style="1"/>
    <col min="9986" max="9986" width="9.125" style="1" customWidth="1"/>
    <col min="9987" max="9987" width="12.375" style="1" customWidth="1"/>
    <col min="9988" max="9988" width="55.375" style="1" customWidth="1"/>
    <col min="9989" max="9989" width="18.75" style="1" customWidth="1"/>
    <col min="9990" max="9990" width="17.125" style="1" customWidth="1"/>
    <col min="9991" max="9991" width="18.75" style="1" customWidth="1"/>
    <col min="9992" max="9992" width="18.625" style="1" customWidth="1"/>
    <col min="9993" max="10241" width="9" style="1"/>
    <col min="10242" max="10242" width="9.125" style="1" customWidth="1"/>
    <col min="10243" max="10243" width="12.375" style="1" customWidth="1"/>
    <col min="10244" max="10244" width="55.375" style="1" customWidth="1"/>
    <col min="10245" max="10245" width="18.75" style="1" customWidth="1"/>
    <col min="10246" max="10246" width="17.125" style="1" customWidth="1"/>
    <col min="10247" max="10247" width="18.75" style="1" customWidth="1"/>
    <col min="10248" max="10248" width="18.625" style="1" customWidth="1"/>
    <col min="10249" max="10497" width="9" style="1"/>
    <col min="10498" max="10498" width="9.125" style="1" customWidth="1"/>
    <col min="10499" max="10499" width="12.375" style="1" customWidth="1"/>
    <col min="10500" max="10500" width="55.375" style="1" customWidth="1"/>
    <col min="10501" max="10501" width="18.75" style="1" customWidth="1"/>
    <col min="10502" max="10502" width="17.125" style="1" customWidth="1"/>
    <col min="10503" max="10503" width="18.75" style="1" customWidth="1"/>
    <col min="10504" max="10504" width="18.625" style="1" customWidth="1"/>
    <col min="10505" max="10753" width="9" style="1"/>
    <col min="10754" max="10754" width="9.125" style="1" customWidth="1"/>
    <col min="10755" max="10755" width="12.375" style="1" customWidth="1"/>
    <col min="10756" max="10756" width="55.375" style="1" customWidth="1"/>
    <col min="10757" max="10757" width="18.75" style="1" customWidth="1"/>
    <col min="10758" max="10758" width="17.125" style="1" customWidth="1"/>
    <col min="10759" max="10759" width="18.75" style="1" customWidth="1"/>
    <col min="10760" max="10760" width="18.625" style="1" customWidth="1"/>
    <col min="10761" max="11009" width="9" style="1"/>
    <col min="11010" max="11010" width="9.125" style="1" customWidth="1"/>
    <col min="11011" max="11011" width="12.375" style="1" customWidth="1"/>
    <col min="11012" max="11012" width="55.375" style="1" customWidth="1"/>
    <col min="11013" max="11013" width="18.75" style="1" customWidth="1"/>
    <col min="11014" max="11014" width="17.125" style="1" customWidth="1"/>
    <col min="11015" max="11015" width="18.75" style="1" customWidth="1"/>
    <col min="11016" max="11016" width="18.625" style="1" customWidth="1"/>
    <col min="11017" max="11265" width="9" style="1"/>
    <col min="11266" max="11266" width="9.125" style="1" customWidth="1"/>
    <col min="11267" max="11267" width="12.375" style="1" customWidth="1"/>
    <col min="11268" max="11268" width="55.375" style="1" customWidth="1"/>
    <col min="11269" max="11269" width="18.75" style="1" customWidth="1"/>
    <col min="11270" max="11270" width="17.125" style="1" customWidth="1"/>
    <col min="11271" max="11271" width="18.75" style="1" customWidth="1"/>
    <col min="11272" max="11272" width="18.625" style="1" customWidth="1"/>
    <col min="11273" max="11521" width="9" style="1"/>
    <col min="11522" max="11522" width="9.125" style="1" customWidth="1"/>
    <col min="11523" max="11523" width="12.375" style="1" customWidth="1"/>
    <col min="11524" max="11524" width="55.375" style="1" customWidth="1"/>
    <col min="11525" max="11525" width="18.75" style="1" customWidth="1"/>
    <col min="11526" max="11526" width="17.125" style="1" customWidth="1"/>
    <col min="11527" max="11527" width="18.75" style="1" customWidth="1"/>
    <col min="11528" max="11528" width="18.625" style="1" customWidth="1"/>
    <col min="11529" max="11777" width="9" style="1"/>
    <col min="11778" max="11778" width="9.125" style="1" customWidth="1"/>
    <col min="11779" max="11779" width="12.375" style="1" customWidth="1"/>
    <col min="11780" max="11780" width="55.375" style="1" customWidth="1"/>
    <col min="11781" max="11781" width="18.75" style="1" customWidth="1"/>
    <col min="11782" max="11782" width="17.125" style="1" customWidth="1"/>
    <col min="11783" max="11783" width="18.75" style="1" customWidth="1"/>
    <col min="11784" max="11784" width="18.625" style="1" customWidth="1"/>
    <col min="11785" max="12033" width="9" style="1"/>
    <col min="12034" max="12034" width="9.125" style="1" customWidth="1"/>
    <col min="12035" max="12035" width="12.375" style="1" customWidth="1"/>
    <col min="12036" max="12036" width="55.375" style="1" customWidth="1"/>
    <col min="12037" max="12037" width="18.75" style="1" customWidth="1"/>
    <col min="12038" max="12038" width="17.125" style="1" customWidth="1"/>
    <col min="12039" max="12039" width="18.75" style="1" customWidth="1"/>
    <col min="12040" max="12040" width="18.625" style="1" customWidth="1"/>
    <col min="12041" max="12289" width="9" style="1"/>
    <col min="12290" max="12290" width="9.125" style="1" customWidth="1"/>
    <col min="12291" max="12291" width="12.375" style="1" customWidth="1"/>
    <col min="12292" max="12292" width="55.375" style="1" customWidth="1"/>
    <col min="12293" max="12293" width="18.75" style="1" customWidth="1"/>
    <col min="12294" max="12294" width="17.125" style="1" customWidth="1"/>
    <col min="12295" max="12295" width="18.75" style="1" customWidth="1"/>
    <col min="12296" max="12296" width="18.625" style="1" customWidth="1"/>
    <col min="12297" max="12545" width="9" style="1"/>
    <col min="12546" max="12546" width="9.125" style="1" customWidth="1"/>
    <col min="12547" max="12547" width="12.375" style="1" customWidth="1"/>
    <col min="12548" max="12548" width="55.375" style="1" customWidth="1"/>
    <col min="12549" max="12549" width="18.75" style="1" customWidth="1"/>
    <col min="12550" max="12550" width="17.125" style="1" customWidth="1"/>
    <col min="12551" max="12551" width="18.75" style="1" customWidth="1"/>
    <col min="12552" max="12552" width="18.625" style="1" customWidth="1"/>
    <col min="12553" max="12801" width="9" style="1"/>
    <col min="12802" max="12802" width="9.125" style="1" customWidth="1"/>
    <col min="12803" max="12803" width="12.375" style="1" customWidth="1"/>
    <col min="12804" max="12804" width="55.375" style="1" customWidth="1"/>
    <col min="12805" max="12805" width="18.75" style="1" customWidth="1"/>
    <col min="12806" max="12806" width="17.125" style="1" customWidth="1"/>
    <col min="12807" max="12807" width="18.75" style="1" customWidth="1"/>
    <col min="12808" max="12808" width="18.625" style="1" customWidth="1"/>
    <col min="12809" max="13057" width="9" style="1"/>
    <col min="13058" max="13058" width="9.125" style="1" customWidth="1"/>
    <col min="13059" max="13059" width="12.375" style="1" customWidth="1"/>
    <col min="13060" max="13060" width="55.375" style="1" customWidth="1"/>
    <col min="13061" max="13061" width="18.75" style="1" customWidth="1"/>
    <col min="13062" max="13062" width="17.125" style="1" customWidth="1"/>
    <col min="13063" max="13063" width="18.75" style="1" customWidth="1"/>
    <col min="13064" max="13064" width="18.625" style="1" customWidth="1"/>
    <col min="13065" max="13313" width="9" style="1"/>
    <col min="13314" max="13314" width="9.125" style="1" customWidth="1"/>
    <col min="13315" max="13315" width="12.375" style="1" customWidth="1"/>
    <col min="13316" max="13316" width="55.375" style="1" customWidth="1"/>
    <col min="13317" max="13317" width="18.75" style="1" customWidth="1"/>
    <col min="13318" max="13318" width="17.125" style="1" customWidth="1"/>
    <col min="13319" max="13319" width="18.75" style="1" customWidth="1"/>
    <col min="13320" max="13320" width="18.625" style="1" customWidth="1"/>
    <col min="13321" max="13569" width="9" style="1"/>
    <col min="13570" max="13570" width="9.125" style="1" customWidth="1"/>
    <col min="13571" max="13571" width="12.375" style="1" customWidth="1"/>
    <col min="13572" max="13572" width="55.375" style="1" customWidth="1"/>
    <col min="13573" max="13573" width="18.75" style="1" customWidth="1"/>
    <col min="13574" max="13574" width="17.125" style="1" customWidth="1"/>
    <col min="13575" max="13575" width="18.75" style="1" customWidth="1"/>
    <col min="13576" max="13576" width="18.625" style="1" customWidth="1"/>
    <col min="13577" max="13825" width="9" style="1"/>
    <col min="13826" max="13826" width="9.125" style="1" customWidth="1"/>
    <col min="13827" max="13827" width="12.375" style="1" customWidth="1"/>
    <col min="13828" max="13828" width="55.375" style="1" customWidth="1"/>
    <col min="13829" max="13829" width="18.75" style="1" customWidth="1"/>
    <col min="13830" max="13830" width="17.125" style="1" customWidth="1"/>
    <col min="13831" max="13831" width="18.75" style="1" customWidth="1"/>
    <col min="13832" max="13832" width="18.625" style="1" customWidth="1"/>
    <col min="13833" max="14081" width="9" style="1"/>
    <col min="14082" max="14082" width="9.125" style="1" customWidth="1"/>
    <col min="14083" max="14083" width="12.375" style="1" customWidth="1"/>
    <col min="14084" max="14084" width="55.375" style="1" customWidth="1"/>
    <col min="14085" max="14085" width="18.75" style="1" customWidth="1"/>
    <col min="14086" max="14086" width="17.125" style="1" customWidth="1"/>
    <col min="14087" max="14087" width="18.75" style="1" customWidth="1"/>
    <col min="14088" max="14088" width="18.625" style="1" customWidth="1"/>
    <col min="14089" max="14337" width="9" style="1"/>
    <col min="14338" max="14338" width="9.125" style="1" customWidth="1"/>
    <col min="14339" max="14339" width="12.375" style="1" customWidth="1"/>
    <col min="14340" max="14340" width="55.375" style="1" customWidth="1"/>
    <col min="14341" max="14341" width="18.75" style="1" customWidth="1"/>
    <col min="14342" max="14342" width="17.125" style="1" customWidth="1"/>
    <col min="14343" max="14343" width="18.75" style="1" customWidth="1"/>
    <col min="14344" max="14344" width="18.625" style="1" customWidth="1"/>
    <col min="14345" max="14593" width="9" style="1"/>
    <col min="14594" max="14594" width="9.125" style="1" customWidth="1"/>
    <col min="14595" max="14595" width="12.375" style="1" customWidth="1"/>
    <col min="14596" max="14596" width="55.375" style="1" customWidth="1"/>
    <col min="14597" max="14597" width="18.75" style="1" customWidth="1"/>
    <col min="14598" max="14598" width="17.125" style="1" customWidth="1"/>
    <col min="14599" max="14599" width="18.75" style="1" customWidth="1"/>
    <col min="14600" max="14600" width="18.625" style="1" customWidth="1"/>
    <col min="14601" max="14849" width="9" style="1"/>
    <col min="14850" max="14850" width="9.125" style="1" customWidth="1"/>
    <col min="14851" max="14851" width="12.375" style="1" customWidth="1"/>
    <col min="14852" max="14852" width="55.375" style="1" customWidth="1"/>
    <col min="14853" max="14853" width="18.75" style="1" customWidth="1"/>
    <col min="14854" max="14854" width="17.125" style="1" customWidth="1"/>
    <col min="14855" max="14855" width="18.75" style="1" customWidth="1"/>
    <col min="14856" max="14856" width="18.625" style="1" customWidth="1"/>
    <col min="14857" max="15105" width="9" style="1"/>
    <col min="15106" max="15106" width="9.125" style="1" customWidth="1"/>
    <col min="15107" max="15107" width="12.375" style="1" customWidth="1"/>
    <col min="15108" max="15108" width="55.375" style="1" customWidth="1"/>
    <col min="15109" max="15109" width="18.75" style="1" customWidth="1"/>
    <col min="15110" max="15110" width="17.125" style="1" customWidth="1"/>
    <col min="15111" max="15111" width="18.75" style="1" customWidth="1"/>
    <col min="15112" max="15112" width="18.625" style="1" customWidth="1"/>
    <col min="15113" max="15361" width="9" style="1"/>
    <col min="15362" max="15362" width="9.125" style="1" customWidth="1"/>
    <col min="15363" max="15363" width="12.375" style="1" customWidth="1"/>
    <col min="15364" max="15364" width="55.375" style="1" customWidth="1"/>
    <col min="15365" max="15365" width="18.75" style="1" customWidth="1"/>
    <col min="15366" max="15366" width="17.125" style="1" customWidth="1"/>
    <col min="15367" max="15367" width="18.75" style="1" customWidth="1"/>
    <col min="15368" max="15368" width="18.625" style="1" customWidth="1"/>
    <col min="15369" max="15617" width="9" style="1"/>
    <col min="15618" max="15618" width="9.125" style="1" customWidth="1"/>
    <col min="15619" max="15619" width="12.375" style="1" customWidth="1"/>
    <col min="15620" max="15620" width="55.375" style="1" customWidth="1"/>
    <col min="15621" max="15621" width="18.75" style="1" customWidth="1"/>
    <col min="15622" max="15622" width="17.125" style="1" customWidth="1"/>
    <col min="15623" max="15623" width="18.75" style="1" customWidth="1"/>
    <col min="15624" max="15624" width="18.625" style="1" customWidth="1"/>
    <col min="15625" max="15873" width="9" style="1"/>
    <col min="15874" max="15874" width="9.125" style="1" customWidth="1"/>
    <col min="15875" max="15875" width="12.375" style="1" customWidth="1"/>
    <col min="15876" max="15876" width="55.375" style="1" customWidth="1"/>
    <col min="15877" max="15877" width="18.75" style="1" customWidth="1"/>
    <col min="15878" max="15878" width="17.125" style="1" customWidth="1"/>
    <col min="15879" max="15879" width="18.75" style="1" customWidth="1"/>
    <col min="15880" max="15880" width="18.625" style="1" customWidth="1"/>
    <col min="15881" max="16129" width="9" style="1"/>
    <col min="16130" max="16130" width="9.125" style="1" customWidth="1"/>
    <col min="16131" max="16131" width="12.375" style="1" customWidth="1"/>
    <col min="16132" max="16132" width="55.375" style="1" customWidth="1"/>
    <col min="16133" max="16133" width="18.75" style="1" customWidth="1"/>
    <col min="16134" max="16134" width="17.125" style="1" customWidth="1"/>
    <col min="16135" max="16135" width="18.75" style="1" customWidth="1"/>
    <col min="16136" max="16136" width="18.625" style="1" customWidth="1"/>
    <col min="16137" max="16384" width="9" style="1"/>
  </cols>
  <sheetData>
    <row r="1" spans="1:13" ht="40.5" customHeight="1">
      <c r="G1" s="636"/>
      <c r="H1" s="637"/>
    </row>
    <row r="2" spans="1:13" ht="43.5" customHeight="1">
      <c r="A2" s="638" t="s">
        <v>441</v>
      </c>
      <c r="B2" s="639"/>
      <c r="C2" s="639"/>
      <c r="D2" s="639"/>
      <c r="E2" s="639"/>
      <c r="F2" s="639"/>
      <c r="G2" s="639"/>
      <c r="H2" s="639"/>
    </row>
    <row r="3" spans="1:13">
      <c r="A3" s="457"/>
    </row>
    <row r="4" spans="1:13" ht="15.75">
      <c r="A4" s="456"/>
      <c r="H4" s="455" t="s">
        <v>0</v>
      </c>
      <c r="M4" s="454"/>
    </row>
    <row r="5" spans="1:13" ht="20.25" customHeight="1">
      <c r="A5" s="640" t="s">
        <v>1</v>
      </c>
      <c r="B5" s="640" t="s">
        <v>2</v>
      </c>
      <c r="C5" s="640" t="s">
        <v>440</v>
      </c>
      <c r="D5" s="641" t="s">
        <v>439</v>
      </c>
      <c r="E5" s="640" t="s">
        <v>438</v>
      </c>
      <c r="F5" s="640"/>
      <c r="G5" s="640" t="s">
        <v>437</v>
      </c>
      <c r="H5" s="640"/>
    </row>
    <row r="6" spans="1:13" ht="15.75">
      <c r="A6" s="640"/>
      <c r="B6" s="640"/>
      <c r="C6" s="640"/>
      <c r="D6" s="642"/>
      <c r="E6" s="453" t="s">
        <v>352</v>
      </c>
      <c r="F6" s="453" t="s">
        <v>4</v>
      </c>
      <c r="G6" s="453" t="s">
        <v>352</v>
      </c>
      <c r="H6" s="453" t="s">
        <v>4</v>
      </c>
    </row>
    <row r="7" spans="1:13">
      <c r="A7" s="452" t="s">
        <v>5</v>
      </c>
      <c r="B7" s="452" t="s">
        <v>6</v>
      </c>
      <c r="C7" s="452" t="s">
        <v>7</v>
      </c>
      <c r="D7" s="452" t="s">
        <v>8</v>
      </c>
      <c r="E7" s="452" t="s">
        <v>9</v>
      </c>
      <c r="F7" s="452" t="s">
        <v>10</v>
      </c>
      <c r="G7" s="452" t="s">
        <v>32</v>
      </c>
      <c r="H7" s="452" t="s">
        <v>33</v>
      </c>
    </row>
    <row r="8" spans="1:13" ht="34.5" customHeight="1">
      <c r="A8" s="451" t="s">
        <v>11</v>
      </c>
      <c r="B8" s="451" t="s">
        <v>65</v>
      </c>
      <c r="C8" s="447" t="s">
        <v>66</v>
      </c>
      <c r="D8" s="447" t="s">
        <v>436</v>
      </c>
      <c r="E8" s="450">
        <v>9713178</v>
      </c>
      <c r="F8" s="450">
        <v>10162967</v>
      </c>
      <c r="G8" s="446">
        <v>12390469</v>
      </c>
      <c r="H8" s="446">
        <v>11602034</v>
      </c>
    </row>
    <row r="9" spans="1:13" ht="49.5" customHeight="1">
      <c r="A9" s="448">
        <v>756</v>
      </c>
      <c r="B9" s="448">
        <v>75618</v>
      </c>
      <c r="C9" s="447" t="s">
        <v>174</v>
      </c>
      <c r="D9" s="631" t="s">
        <v>435</v>
      </c>
      <c r="E9" s="450">
        <v>383100</v>
      </c>
      <c r="F9" s="450">
        <v>611600</v>
      </c>
      <c r="G9" s="459">
        <v>0</v>
      </c>
      <c r="H9" s="459">
        <v>0</v>
      </c>
    </row>
    <row r="10" spans="1:13" ht="45" customHeight="1">
      <c r="A10" s="449">
        <v>851</v>
      </c>
      <c r="B10" s="448">
        <v>85154</v>
      </c>
      <c r="C10" s="447" t="s">
        <v>434</v>
      </c>
      <c r="D10" s="632"/>
      <c r="E10" s="458">
        <v>0</v>
      </c>
      <c r="F10" s="458">
        <v>0</v>
      </c>
      <c r="G10" s="450">
        <v>923750</v>
      </c>
      <c r="H10" s="450">
        <v>888115</v>
      </c>
    </row>
    <row r="11" spans="1:13" ht="47.25" customHeight="1">
      <c r="A11" s="628">
        <v>900</v>
      </c>
      <c r="B11" s="448">
        <v>90019</v>
      </c>
      <c r="C11" s="447" t="s">
        <v>244</v>
      </c>
      <c r="D11" s="447" t="s">
        <v>433</v>
      </c>
      <c r="E11" s="446">
        <v>36674</v>
      </c>
      <c r="F11" s="446">
        <v>49586</v>
      </c>
      <c r="G11" s="446">
        <v>39242</v>
      </c>
      <c r="H11" s="446">
        <v>12568</v>
      </c>
    </row>
    <row r="12" spans="1:13" ht="81.75" customHeight="1">
      <c r="A12" s="629"/>
      <c r="B12" s="448">
        <v>90020</v>
      </c>
      <c r="C12" s="447" t="s">
        <v>246</v>
      </c>
      <c r="D12" s="447" t="s">
        <v>442</v>
      </c>
      <c r="E12" s="446">
        <v>10000</v>
      </c>
      <c r="F12" s="446">
        <v>5739</v>
      </c>
      <c r="G12" s="446">
        <v>10138</v>
      </c>
      <c r="H12" s="446">
        <v>10138</v>
      </c>
    </row>
    <row r="13" spans="1:13" ht="81.75" customHeight="1">
      <c r="A13" s="630"/>
      <c r="B13" s="448">
        <v>90024</v>
      </c>
      <c r="C13" s="447" t="s">
        <v>248</v>
      </c>
      <c r="D13" s="447" t="s">
        <v>432</v>
      </c>
      <c r="E13" s="446">
        <v>0</v>
      </c>
      <c r="F13" s="446">
        <v>4086</v>
      </c>
      <c r="G13" s="446">
        <v>1373</v>
      </c>
      <c r="H13" s="446">
        <v>0</v>
      </c>
    </row>
    <row r="14" spans="1:13" ht="31.5" customHeight="1">
      <c r="A14" s="633" t="s">
        <v>28</v>
      </c>
      <c r="B14" s="634"/>
      <c r="C14" s="634"/>
      <c r="D14" s="635"/>
      <c r="E14" s="445">
        <f>SUM(E8:E13)</f>
        <v>10142952</v>
      </c>
      <c r="F14" s="445">
        <f>SUM(F8:F13)</f>
        <v>10833978</v>
      </c>
      <c r="G14" s="445">
        <f>SUM(G8:G13)</f>
        <v>13364972</v>
      </c>
      <c r="H14" s="445">
        <f>SUM(H8:H13)</f>
        <v>12512855</v>
      </c>
    </row>
    <row r="15" spans="1:13" ht="15.75">
      <c r="A15" s="444"/>
      <c r="B15" s="444"/>
      <c r="C15" s="443"/>
      <c r="D15" s="443"/>
      <c r="E15" s="442"/>
      <c r="F15" s="442"/>
      <c r="G15" s="442"/>
      <c r="H15" s="442"/>
    </row>
    <row r="16" spans="1:13">
      <c r="A16" s="441"/>
    </row>
    <row r="20" spans="6:13" s="1" customFormat="1">
      <c r="F20" s="440"/>
      <c r="G20" s="437"/>
      <c r="H20" s="437"/>
    </row>
    <row r="22" spans="6:13" s="437" customFormat="1">
      <c r="F22" s="440"/>
      <c r="I22" s="1"/>
      <c r="J22" s="1"/>
      <c r="K22" s="1"/>
      <c r="L22" s="1"/>
      <c r="M22" s="1"/>
    </row>
    <row r="69" spans="3:13" s="437" customFormat="1">
      <c r="C69" s="439"/>
      <c r="D69" s="439"/>
      <c r="I69" s="1"/>
      <c r="J69" s="1"/>
      <c r="K69" s="1"/>
      <c r="L69" s="1"/>
      <c r="M69" s="1"/>
    </row>
    <row r="138" spans="3:13" s="437" customFormat="1">
      <c r="C138" s="439"/>
      <c r="D138" s="439"/>
      <c r="I138" s="1"/>
      <c r="J138" s="1"/>
      <c r="K138" s="1"/>
      <c r="L138" s="1"/>
      <c r="M138" s="1"/>
    </row>
    <row r="300" spans="3:13" s="437" customFormat="1">
      <c r="C300" s="438"/>
      <c r="D300" s="438"/>
      <c r="I300" s="1"/>
      <c r="J300" s="1"/>
      <c r="K300" s="1"/>
      <c r="L300" s="1"/>
      <c r="M300" s="1"/>
    </row>
  </sheetData>
  <mergeCells count="11">
    <mergeCell ref="A11:A13"/>
    <mergeCell ref="D9:D10"/>
    <mergeCell ref="A14:D14"/>
    <mergeCell ref="G1:H1"/>
    <mergeCell ref="A2:H2"/>
    <mergeCell ref="A5:A6"/>
    <mergeCell ref="B5:B6"/>
    <mergeCell ref="C5:C6"/>
    <mergeCell ref="E5:F5"/>
    <mergeCell ref="G5:H5"/>
    <mergeCell ref="D5:D6"/>
  </mergeCells>
  <printOptions horizontalCentered="1"/>
  <pageMargins left="0.31496062992125984" right="0.31496062992125984" top="0.51181102362204722" bottom="0.35433070866141736" header="0.51181102362204722" footer="0.35433070866141736"/>
  <pageSetup paperSize="9" scale="80" orientation="landscape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30"/>
  <sheetViews>
    <sheetView view="pageBreakPreview" topLeftCell="A16" zoomScaleNormal="100" zoomScaleSheetLayoutView="100" workbookViewId="0">
      <selection activeCell="K301" sqref="K301"/>
    </sheetView>
  </sheetViews>
  <sheetFormatPr defaultRowHeight="15.75"/>
  <cols>
    <col min="1" max="1" width="5.75" style="330" customWidth="1"/>
    <col min="2" max="2" width="50.375" style="281" customWidth="1"/>
    <col min="3" max="3" width="5.875" style="281" bestFit="1" customWidth="1"/>
    <col min="4" max="4" width="9.5" style="281" bestFit="1" customWidth="1"/>
    <col min="5" max="8" width="12.625" style="281" customWidth="1"/>
    <col min="9" max="16384" width="9" style="281"/>
  </cols>
  <sheetData>
    <row r="1" spans="1:13" ht="40.5" customHeight="1">
      <c r="A1" s="652" t="s">
        <v>410</v>
      </c>
      <c r="B1" s="652"/>
      <c r="C1" s="652"/>
      <c r="D1" s="652"/>
      <c r="E1" s="652"/>
      <c r="F1" s="652"/>
      <c r="G1" s="652"/>
      <c r="H1" s="652"/>
    </row>
    <row r="2" spans="1:13" ht="16.5" thickBot="1">
      <c r="B2" s="282"/>
      <c r="C2" s="282"/>
      <c r="D2" s="282"/>
      <c r="E2" s="282"/>
      <c r="F2" s="282"/>
      <c r="G2" s="282"/>
      <c r="H2" s="283" t="s">
        <v>0</v>
      </c>
    </row>
    <row r="3" spans="1:13" ht="16.5" thickBot="1">
      <c r="A3" s="656" t="s">
        <v>348</v>
      </c>
      <c r="B3" s="643" t="s">
        <v>349</v>
      </c>
      <c r="C3" s="643" t="s">
        <v>1</v>
      </c>
      <c r="D3" s="643" t="s">
        <v>2</v>
      </c>
      <c r="E3" s="643" t="s">
        <v>350</v>
      </c>
      <c r="F3" s="643"/>
      <c r="G3" s="643" t="s">
        <v>351</v>
      </c>
      <c r="H3" s="643"/>
    </row>
    <row r="4" spans="1:13" ht="28.5" customHeight="1" thickBot="1">
      <c r="A4" s="656"/>
      <c r="B4" s="643"/>
      <c r="C4" s="643"/>
      <c r="D4" s="643"/>
      <c r="E4" s="328" t="s">
        <v>352</v>
      </c>
      <c r="F4" s="356" t="s">
        <v>4</v>
      </c>
      <c r="G4" s="328" t="s">
        <v>352</v>
      </c>
      <c r="H4" s="356" t="s">
        <v>4</v>
      </c>
    </row>
    <row r="5" spans="1:13" ht="16.5" customHeight="1" thickBot="1">
      <c r="A5" s="656"/>
      <c r="B5" s="354">
        <v>1</v>
      </c>
      <c r="C5" s="354">
        <v>2</v>
      </c>
      <c r="D5" s="354">
        <v>3</v>
      </c>
      <c r="E5" s="354" t="s">
        <v>8</v>
      </c>
      <c r="F5" s="354" t="s">
        <v>9</v>
      </c>
      <c r="G5" s="355" t="s">
        <v>10</v>
      </c>
      <c r="H5" s="354" t="s">
        <v>32</v>
      </c>
    </row>
    <row r="6" spans="1:13" ht="30">
      <c r="A6" s="353">
        <v>1</v>
      </c>
      <c r="B6" s="352" t="s">
        <v>409</v>
      </c>
      <c r="C6" s="644">
        <v>801</v>
      </c>
      <c r="D6" s="644">
        <v>80102</v>
      </c>
      <c r="E6" s="350">
        <v>14050</v>
      </c>
      <c r="F6" s="351">
        <v>14654.92</v>
      </c>
      <c r="G6" s="350">
        <v>14050</v>
      </c>
      <c r="H6" s="349">
        <v>9072</v>
      </c>
      <c r="I6"/>
      <c r="J6"/>
      <c r="K6"/>
      <c r="L6"/>
    </row>
    <row r="7" spans="1:13">
      <c r="A7" s="343">
        <v>2</v>
      </c>
      <c r="B7" s="344" t="s">
        <v>353</v>
      </c>
      <c r="C7" s="645"/>
      <c r="D7" s="645"/>
      <c r="E7" s="348">
        <v>15250</v>
      </c>
      <c r="F7" s="341">
        <v>14799.12</v>
      </c>
      <c r="G7" s="348">
        <v>15250</v>
      </c>
      <c r="H7" s="339">
        <v>14797</v>
      </c>
      <c r="I7" s="332"/>
      <c r="J7"/>
      <c r="K7"/>
      <c r="L7"/>
    </row>
    <row r="8" spans="1:13">
      <c r="A8" s="343">
        <v>3</v>
      </c>
      <c r="B8" s="342" t="s">
        <v>354</v>
      </c>
      <c r="C8" s="645">
        <v>801</v>
      </c>
      <c r="D8" s="653">
        <v>80130</v>
      </c>
      <c r="E8" s="340">
        <v>103000</v>
      </c>
      <c r="F8" s="341">
        <v>58759.94</v>
      </c>
      <c r="G8" s="340">
        <v>103000</v>
      </c>
      <c r="H8" s="339">
        <v>58753</v>
      </c>
      <c r="I8"/>
      <c r="J8"/>
      <c r="K8"/>
      <c r="L8"/>
    </row>
    <row r="9" spans="1:13">
      <c r="A9" s="343">
        <v>4</v>
      </c>
      <c r="B9" s="342" t="s">
        <v>355</v>
      </c>
      <c r="C9" s="645"/>
      <c r="D9" s="654"/>
      <c r="E9" s="340">
        <v>15458</v>
      </c>
      <c r="F9" s="341">
        <v>15647.93</v>
      </c>
      <c r="G9" s="340">
        <v>15458</v>
      </c>
      <c r="H9" s="339">
        <v>15634</v>
      </c>
      <c r="I9"/>
      <c r="J9"/>
      <c r="K9"/>
      <c r="L9"/>
    </row>
    <row r="10" spans="1:13">
      <c r="A10" s="343">
        <v>5</v>
      </c>
      <c r="B10" s="342" t="s">
        <v>356</v>
      </c>
      <c r="C10" s="645"/>
      <c r="D10" s="654"/>
      <c r="E10" s="340">
        <v>11900</v>
      </c>
      <c r="F10" s="341">
        <v>4457.6899999999996</v>
      </c>
      <c r="G10" s="340">
        <v>11900</v>
      </c>
      <c r="H10" s="339">
        <v>4458</v>
      </c>
      <c r="I10"/>
      <c r="J10"/>
      <c r="K10"/>
      <c r="L10"/>
      <c r="M10" s="347"/>
    </row>
    <row r="11" spans="1:13">
      <c r="A11" s="343">
        <v>6</v>
      </c>
      <c r="B11" s="344" t="s">
        <v>357</v>
      </c>
      <c r="C11" s="645"/>
      <c r="D11" s="654"/>
      <c r="E11" s="340">
        <v>26700</v>
      </c>
      <c r="F11" s="341">
        <v>22674.66</v>
      </c>
      <c r="G11" s="340">
        <v>26700</v>
      </c>
      <c r="H11" s="339">
        <v>22479</v>
      </c>
      <c r="I11"/>
      <c r="J11"/>
      <c r="K11"/>
      <c r="L11"/>
      <c r="M11" s="284"/>
    </row>
    <row r="12" spans="1:13">
      <c r="A12" s="343">
        <v>7</v>
      </c>
      <c r="B12" s="344" t="s">
        <v>358</v>
      </c>
      <c r="C12" s="645"/>
      <c r="D12" s="654"/>
      <c r="E12" s="340">
        <v>67200</v>
      </c>
      <c r="F12" s="341">
        <v>42041.84</v>
      </c>
      <c r="G12" s="340">
        <v>67200</v>
      </c>
      <c r="H12" s="339">
        <v>42042</v>
      </c>
      <c r="I12"/>
      <c r="J12"/>
      <c r="K12"/>
      <c r="L12"/>
    </row>
    <row r="13" spans="1:13">
      <c r="A13" s="343">
        <v>8</v>
      </c>
      <c r="B13" s="342" t="s">
        <v>359</v>
      </c>
      <c r="C13" s="645"/>
      <c r="D13" s="654"/>
      <c r="E13" s="340">
        <v>40100</v>
      </c>
      <c r="F13" s="341">
        <v>23269.11</v>
      </c>
      <c r="G13" s="340">
        <v>40100</v>
      </c>
      <c r="H13" s="339">
        <v>23239</v>
      </c>
      <c r="I13" s="332"/>
      <c r="J13"/>
      <c r="K13"/>
      <c r="L13"/>
    </row>
    <row r="14" spans="1:13" ht="15">
      <c r="A14" s="657">
        <v>9</v>
      </c>
      <c r="B14" s="651" t="s">
        <v>360</v>
      </c>
      <c r="C14" s="645"/>
      <c r="D14" s="655"/>
      <c r="E14" s="340">
        <v>502677</v>
      </c>
      <c r="F14" s="341">
        <v>444649.83</v>
      </c>
      <c r="G14" s="340">
        <v>502677</v>
      </c>
      <c r="H14" s="339">
        <v>444592</v>
      </c>
      <c r="I14" s="332"/>
      <c r="J14"/>
      <c r="K14"/>
      <c r="L14"/>
    </row>
    <row r="15" spans="1:13" ht="15">
      <c r="A15" s="657"/>
      <c r="B15" s="651"/>
      <c r="C15" s="346">
        <v>854</v>
      </c>
      <c r="D15" s="346">
        <v>85410</v>
      </c>
      <c r="E15" s="340">
        <v>168120</v>
      </c>
      <c r="F15" s="341">
        <v>138357.79999999999</v>
      </c>
      <c r="G15" s="340">
        <v>168120</v>
      </c>
      <c r="H15" s="339">
        <v>138213</v>
      </c>
      <c r="I15" s="332"/>
      <c r="J15"/>
      <c r="K15"/>
      <c r="L15"/>
    </row>
    <row r="16" spans="1:13">
      <c r="A16" s="343">
        <v>10</v>
      </c>
      <c r="B16" s="342" t="s">
        <v>361</v>
      </c>
      <c r="C16" s="648">
        <v>801</v>
      </c>
      <c r="D16" s="648">
        <v>80141</v>
      </c>
      <c r="E16" s="340">
        <v>112000</v>
      </c>
      <c r="F16" s="341">
        <v>15328.74</v>
      </c>
      <c r="G16" s="340">
        <v>112000</v>
      </c>
      <c r="H16" s="339">
        <v>12708</v>
      </c>
      <c r="I16"/>
      <c r="J16"/>
      <c r="K16"/>
      <c r="L16"/>
    </row>
    <row r="17" spans="1:12">
      <c r="A17" s="343">
        <v>11</v>
      </c>
      <c r="B17" s="344" t="s">
        <v>362</v>
      </c>
      <c r="C17" s="649"/>
      <c r="D17" s="649"/>
      <c r="E17" s="340">
        <v>27350</v>
      </c>
      <c r="F17" s="341">
        <v>26288</v>
      </c>
      <c r="G17" s="340">
        <v>27350</v>
      </c>
      <c r="H17" s="339">
        <v>26276</v>
      </c>
      <c r="I17"/>
      <c r="J17"/>
      <c r="K17"/>
      <c r="L17"/>
    </row>
    <row r="18" spans="1:12">
      <c r="A18" s="343">
        <v>12</v>
      </c>
      <c r="B18" s="344" t="s">
        <v>363</v>
      </c>
      <c r="C18" s="649"/>
      <c r="D18" s="649"/>
      <c r="E18" s="340">
        <v>25750</v>
      </c>
      <c r="F18" s="341">
        <v>22863.53</v>
      </c>
      <c r="G18" s="340">
        <v>25750</v>
      </c>
      <c r="H18" s="339">
        <v>22847</v>
      </c>
      <c r="I18" s="332"/>
      <c r="J18"/>
      <c r="K18"/>
      <c r="L18"/>
    </row>
    <row r="19" spans="1:12" ht="30">
      <c r="A19" s="343">
        <v>13</v>
      </c>
      <c r="B19" s="344" t="s">
        <v>364</v>
      </c>
      <c r="C19" s="649"/>
      <c r="D19" s="649"/>
      <c r="E19" s="340">
        <v>9000</v>
      </c>
      <c r="F19" s="341">
        <v>6102.33</v>
      </c>
      <c r="G19" s="340">
        <v>9000</v>
      </c>
      <c r="H19" s="339">
        <v>3352</v>
      </c>
      <c r="I19"/>
      <c r="J19"/>
      <c r="K19"/>
      <c r="L19"/>
    </row>
    <row r="20" spans="1:12">
      <c r="A20" s="343">
        <v>14</v>
      </c>
      <c r="B20" s="342" t="s">
        <v>365</v>
      </c>
      <c r="C20" s="649"/>
      <c r="D20" s="649"/>
      <c r="E20" s="340">
        <v>16550</v>
      </c>
      <c r="F20" s="341">
        <v>4696.6000000000004</v>
      </c>
      <c r="G20" s="340">
        <v>16550</v>
      </c>
      <c r="H20" s="339">
        <v>4692</v>
      </c>
      <c r="I20"/>
      <c r="J20"/>
      <c r="K20"/>
      <c r="L20"/>
    </row>
    <row r="21" spans="1:12" ht="30">
      <c r="A21" s="343">
        <v>15</v>
      </c>
      <c r="B21" s="344" t="s">
        <v>408</v>
      </c>
      <c r="C21" s="649"/>
      <c r="D21" s="649"/>
      <c r="E21" s="340">
        <v>65000</v>
      </c>
      <c r="F21" s="341">
        <v>56694.720000000001</v>
      </c>
      <c r="G21" s="340">
        <v>65000</v>
      </c>
      <c r="H21" s="339">
        <v>25924</v>
      </c>
      <c r="I21"/>
      <c r="J21"/>
      <c r="K21"/>
      <c r="L21"/>
    </row>
    <row r="22" spans="1:12" ht="30">
      <c r="A22" s="343">
        <v>16</v>
      </c>
      <c r="B22" s="344" t="s">
        <v>407</v>
      </c>
      <c r="C22" s="649"/>
      <c r="D22" s="649"/>
      <c r="E22" s="340">
        <v>134400</v>
      </c>
      <c r="F22" s="341">
        <v>112653.3</v>
      </c>
      <c r="G22" s="340">
        <v>134400</v>
      </c>
      <c r="H22" s="339">
        <v>98468</v>
      </c>
      <c r="I22"/>
      <c r="J22"/>
      <c r="K22"/>
      <c r="L22"/>
    </row>
    <row r="23" spans="1:12">
      <c r="A23" s="343">
        <v>17</v>
      </c>
      <c r="B23" s="344" t="s">
        <v>366</v>
      </c>
      <c r="C23" s="649"/>
      <c r="D23" s="649"/>
      <c r="E23" s="340">
        <v>12550</v>
      </c>
      <c r="F23" s="341">
        <v>6931.12</v>
      </c>
      <c r="G23" s="340">
        <v>12550</v>
      </c>
      <c r="H23" s="339">
        <v>6923</v>
      </c>
      <c r="I23"/>
      <c r="J23"/>
      <c r="K23"/>
      <c r="L23"/>
    </row>
    <row r="24" spans="1:12">
      <c r="A24" s="343">
        <v>18</v>
      </c>
      <c r="B24" s="344" t="s">
        <v>367</v>
      </c>
      <c r="C24" s="649"/>
      <c r="D24" s="649"/>
      <c r="E24" s="340">
        <v>17355</v>
      </c>
      <c r="F24" s="341">
        <v>16082.08</v>
      </c>
      <c r="G24" s="340">
        <v>17355</v>
      </c>
      <c r="H24" s="339">
        <v>16082</v>
      </c>
      <c r="I24"/>
      <c r="J24"/>
      <c r="K24"/>
      <c r="L24"/>
    </row>
    <row r="25" spans="1:12" ht="20.25" customHeight="1">
      <c r="A25" s="343">
        <v>19</v>
      </c>
      <c r="B25" s="344" t="s">
        <v>368</v>
      </c>
      <c r="C25" s="650"/>
      <c r="D25" s="650"/>
      <c r="E25" s="340">
        <v>3600</v>
      </c>
      <c r="F25" s="341">
        <v>2658.08</v>
      </c>
      <c r="G25" s="340">
        <v>3600</v>
      </c>
      <c r="H25" s="339">
        <v>2658</v>
      </c>
      <c r="I25" s="332"/>
      <c r="J25"/>
      <c r="K25"/>
      <c r="L25"/>
    </row>
    <row r="26" spans="1:12" ht="30">
      <c r="A26" s="343">
        <v>20</v>
      </c>
      <c r="B26" s="344" t="s">
        <v>369</v>
      </c>
      <c r="C26" s="646">
        <v>801</v>
      </c>
      <c r="D26" s="345">
        <v>80146</v>
      </c>
      <c r="E26" s="340">
        <v>3332876</v>
      </c>
      <c r="F26" s="341">
        <v>3116185.26</v>
      </c>
      <c r="G26" s="340">
        <v>3332876</v>
      </c>
      <c r="H26" s="339">
        <v>2818513</v>
      </c>
      <c r="I26" s="332"/>
      <c r="J26"/>
      <c r="K26"/>
      <c r="L26"/>
    </row>
    <row r="27" spans="1:12">
      <c r="A27" s="343">
        <v>21</v>
      </c>
      <c r="B27" s="344" t="s">
        <v>370</v>
      </c>
      <c r="C27" s="646"/>
      <c r="D27" s="646">
        <v>80147</v>
      </c>
      <c r="E27" s="340">
        <v>84000</v>
      </c>
      <c r="F27" s="341">
        <v>69135.070000000007</v>
      </c>
      <c r="G27" s="340">
        <v>84000</v>
      </c>
      <c r="H27" s="339">
        <v>68970</v>
      </c>
      <c r="I27"/>
      <c r="J27"/>
      <c r="K27"/>
      <c r="L27"/>
    </row>
    <row r="28" spans="1:12">
      <c r="A28" s="343">
        <v>22</v>
      </c>
      <c r="B28" s="342" t="s">
        <v>371</v>
      </c>
      <c r="C28" s="646"/>
      <c r="D28" s="646"/>
      <c r="E28" s="340">
        <v>28000</v>
      </c>
      <c r="F28" s="341">
        <v>29710</v>
      </c>
      <c r="G28" s="340">
        <v>28000</v>
      </c>
      <c r="H28" s="339">
        <v>28731</v>
      </c>
      <c r="I28" s="332"/>
      <c r="J28"/>
      <c r="K28"/>
      <c r="L28"/>
    </row>
    <row r="29" spans="1:12">
      <c r="A29" s="343">
        <v>23</v>
      </c>
      <c r="B29" s="342" t="s">
        <v>372</v>
      </c>
      <c r="C29" s="646"/>
      <c r="D29" s="646"/>
      <c r="E29" s="340">
        <v>200000</v>
      </c>
      <c r="F29" s="341">
        <v>120585.17</v>
      </c>
      <c r="G29" s="340">
        <v>200000</v>
      </c>
      <c r="H29" s="339">
        <v>120130</v>
      </c>
      <c r="I29"/>
      <c r="J29"/>
      <c r="K29"/>
      <c r="L29"/>
    </row>
    <row r="30" spans="1:12" ht="16.5" thickBot="1">
      <c r="A30" s="338">
        <v>24</v>
      </c>
      <c r="B30" s="337" t="s">
        <v>373</v>
      </c>
      <c r="C30" s="647"/>
      <c r="D30" s="647"/>
      <c r="E30" s="335">
        <v>77550</v>
      </c>
      <c r="F30" s="336">
        <v>46324.12</v>
      </c>
      <c r="G30" s="335">
        <v>77550</v>
      </c>
      <c r="H30" s="334">
        <v>45739</v>
      </c>
      <c r="I30" s="332"/>
      <c r="J30"/>
      <c r="K30"/>
      <c r="L30"/>
    </row>
    <row r="31" spans="1:12" ht="27.75" customHeight="1" thickBot="1">
      <c r="A31" s="643" t="s">
        <v>406</v>
      </c>
      <c r="B31" s="643"/>
      <c r="C31" s="328"/>
      <c r="D31" s="328"/>
      <c r="E31" s="333">
        <f>SUM(E6:E30)</f>
        <v>5110436</v>
      </c>
      <c r="F31" s="333">
        <f>SUM(F6:F30)</f>
        <v>4431550.96</v>
      </c>
      <c r="G31" s="333">
        <f>SUM(G6:G30)</f>
        <v>5110436</v>
      </c>
      <c r="H31" s="333">
        <f>SUM(H6:H30)</f>
        <v>4075292</v>
      </c>
      <c r="I31" s="332"/>
      <c r="J31"/>
      <c r="K31"/>
      <c r="L31"/>
    </row>
    <row r="32" spans="1:12">
      <c r="B32" s="331"/>
      <c r="C32" s="331"/>
      <c r="D32" s="331"/>
      <c r="E32" s="331"/>
      <c r="F32" s="331"/>
      <c r="G32" s="331"/>
      <c r="H32" s="331"/>
      <c r="I32"/>
      <c r="J32"/>
      <c r="K32"/>
      <c r="L32"/>
    </row>
    <row r="33" spans="8:12" s="281" customFormat="1" ht="15">
      <c r="I33"/>
      <c r="J33"/>
      <c r="K33"/>
      <c r="L33"/>
    </row>
    <row r="35" spans="8:12" s="281" customFormat="1" ht="15">
      <c r="H35" s="284"/>
    </row>
    <row r="38" spans="8:12" s="281" customFormat="1" ht="15">
      <c r="H38" s="284"/>
    </row>
    <row r="47" spans="8:12" s="281" customFormat="1" ht="15">
      <c r="H47" s="284"/>
    </row>
    <row r="95" spans="1:1" ht="14.25" customHeight="1">
      <c r="A95" s="281"/>
    </row>
    <row r="330" spans="11:11" s="281" customFormat="1" ht="15">
      <c r="K330" s="281" t="e">
        <f>H330/E330</f>
        <v>#DIV/0!</v>
      </c>
    </row>
  </sheetData>
  <mergeCells count="18">
    <mergeCell ref="E3:F3"/>
    <mergeCell ref="G3:H3"/>
    <mergeCell ref="A1:H1"/>
    <mergeCell ref="D8:D14"/>
    <mergeCell ref="A3:A5"/>
    <mergeCell ref="A14:A15"/>
    <mergeCell ref="A31:B31"/>
    <mergeCell ref="C3:C4"/>
    <mergeCell ref="D3:D4"/>
    <mergeCell ref="C6:C7"/>
    <mergeCell ref="D6:D7"/>
    <mergeCell ref="C8:C14"/>
    <mergeCell ref="C26:C30"/>
    <mergeCell ref="D27:D30"/>
    <mergeCell ref="D16:D25"/>
    <mergeCell ref="C16:C25"/>
    <mergeCell ref="B14:B15"/>
    <mergeCell ref="B3:B4"/>
  </mergeCells>
  <printOptions horizontalCentered="1"/>
  <pageMargins left="0.11811023622047245" right="0.11811023622047245" top="1.0629921259842521" bottom="0.31496062992125984" header="0.70866141732283472" footer="0.31496062992125984"/>
  <pageSetup paperSize="9" scale="95" orientation="landscape" r:id="rId1"/>
  <headerFooter scaleWithDoc="0" alignWithMargins="0">
    <oddFooter>Strona &amp;P z &amp;N</oddFooter>
  </headerFooter>
  <rowBreaks count="1" manualBreakCount="1">
    <brk id="2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6"/>
  <sheetViews>
    <sheetView tabSelected="1" view="pageBreakPreview" zoomScale="90" zoomScaleNormal="100" zoomScaleSheetLayoutView="90" workbookViewId="0">
      <selection activeCell="K301" sqref="K301"/>
    </sheetView>
  </sheetViews>
  <sheetFormatPr defaultRowHeight="14.25"/>
  <cols>
    <col min="1" max="1" width="53.875" customWidth="1"/>
    <col min="2" max="2" width="17.25" bestFit="1" customWidth="1"/>
    <col min="3" max="3" width="14" customWidth="1"/>
    <col min="4" max="4" width="11.875" customWidth="1"/>
  </cols>
  <sheetData>
    <row r="1" spans="1:4" ht="40.5" customHeight="1">
      <c r="A1" s="269"/>
      <c r="B1" s="269"/>
      <c r="C1" s="270"/>
      <c r="D1" s="270"/>
    </row>
    <row r="2" spans="1:4">
      <c r="A2" s="658" t="s">
        <v>339</v>
      </c>
      <c r="B2" s="658"/>
      <c r="C2" s="658"/>
      <c r="D2" s="658"/>
    </row>
    <row r="3" spans="1:4">
      <c r="A3" s="658"/>
      <c r="B3" s="658"/>
      <c r="C3" s="658"/>
      <c r="D3" s="658"/>
    </row>
    <row r="4" spans="1:4" ht="16.5" customHeight="1">
      <c r="A4" s="269"/>
      <c r="B4" s="269"/>
      <c r="C4" s="269"/>
      <c r="D4" s="269"/>
    </row>
    <row r="5" spans="1:4" ht="15.75">
      <c r="A5" s="659" t="s">
        <v>340</v>
      </c>
      <c r="B5" s="659"/>
      <c r="C5" s="269"/>
      <c r="D5" s="269"/>
    </row>
    <row r="6" spans="1:4" ht="15.75" thickBot="1">
      <c r="A6" s="269"/>
      <c r="B6" s="269"/>
      <c r="C6" s="269"/>
      <c r="D6" s="271" t="s">
        <v>0</v>
      </c>
    </row>
    <row r="7" spans="1:4" ht="45">
      <c r="A7" s="372" t="s">
        <v>341</v>
      </c>
      <c r="B7" s="371" t="s">
        <v>3</v>
      </c>
      <c r="C7" s="370" t="s">
        <v>4</v>
      </c>
      <c r="D7" s="369" t="s">
        <v>342</v>
      </c>
    </row>
    <row r="8" spans="1:4">
      <c r="A8" s="368" t="s">
        <v>5</v>
      </c>
      <c r="B8" s="366" t="s">
        <v>6</v>
      </c>
      <c r="C8" s="367" t="s">
        <v>7</v>
      </c>
      <c r="D8" s="366" t="s">
        <v>8</v>
      </c>
    </row>
    <row r="9" spans="1:4">
      <c r="A9" s="364" t="s">
        <v>343</v>
      </c>
      <c r="B9" s="376">
        <v>35000000</v>
      </c>
      <c r="C9" s="362">
        <v>35000000</v>
      </c>
      <c r="D9" s="374">
        <f>C9/B9*100</f>
        <v>100</v>
      </c>
    </row>
    <row r="10" spans="1:4">
      <c r="A10" s="364" t="s">
        <v>412</v>
      </c>
      <c r="B10" s="376">
        <v>687500</v>
      </c>
      <c r="C10" s="362">
        <v>687500</v>
      </c>
      <c r="D10" s="374">
        <f>C10/B10*100</f>
        <v>100</v>
      </c>
    </row>
    <row r="11" spans="1:4" ht="15" thickBot="1">
      <c r="A11" s="364" t="s">
        <v>344</v>
      </c>
      <c r="B11" s="376">
        <v>35673879</v>
      </c>
      <c r="C11" s="375">
        <v>60477448</v>
      </c>
      <c r="D11" s="374">
        <f>C11/B11*100</f>
        <v>169.5286570882858</v>
      </c>
    </row>
    <row r="12" spans="1:4" ht="15.75" thickBot="1">
      <c r="A12" s="360" t="s">
        <v>28</v>
      </c>
      <c r="B12" s="359">
        <f>SUM(B9:B11)</f>
        <v>71361379</v>
      </c>
      <c r="C12" s="358">
        <f>SUM(C9:C11)</f>
        <v>96164948</v>
      </c>
      <c r="D12" s="373">
        <f>C12/B12*100</f>
        <v>134.75769295321493</v>
      </c>
    </row>
    <row r="13" spans="1:4" ht="15">
      <c r="A13" s="269"/>
      <c r="B13" s="269"/>
      <c r="C13" s="269"/>
      <c r="D13" s="269"/>
    </row>
    <row r="14" spans="1:4" ht="15">
      <c r="A14" s="269"/>
      <c r="B14" s="269"/>
      <c r="C14" s="269"/>
      <c r="D14" s="269"/>
    </row>
    <row r="15" spans="1:4" ht="15.75">
      <c r="A15" s="659" t="s">
        <v>345</v>
      </c>
      <c r="B15" s="659"/>
      <c r="C15" s="269"/>
      <c r="D15" s="269"/>
    </row>
    <row r="16" spans="1:4" ht="15.75" thickBot="1">
      <c r="A16" s="269"/>
      <c r="B16" s="269"/>
      <c r="C16" s="269"/>
      <c r="D16" s="271" t="s">
        <v>0</v>
      </c>
    </row>
    <row r="17" spans="1:4" ht="45">
      <c r="A17" s="372" t="s">
        <v>346</v>
      </c>
      <c r="B17" s="371" t="s">
        <v>3</v>
      </c>
      <c r="C17" s="370" t="s">
        <v>4</v>
      </c>
      <c r="D17" s="369" t="s">
        <v>342</v>
      </c>
    </row>
    <row r="18" spans="1:4">
      <c r="A18" s="368" t="s">
        <v>5</v>
      </c>
      <c r="B18" s="366" t="s">
        <v>6</v>
      </c>
      <c r="C18" s="367" t="s">
        <v>7</v>
      </c>
      <c r="D18" s="366" t="s">
        <v>8</v>
      </c>
    </row>
    <row r="19" spans="1:4">
      <c r="A19" s="364" t="s">
        <v>347</v>
      </c>
      <c r="B19" s="363">
        <v>7962868</v>
      </c>
      <c r="C19" s="365">
        <v>7962868</v>
      </c>
      <c r="D19" s="361">
        <f>C19/B19*100</f>
        <v>100</v>
      </c>
    </row>
    <row r="20" spans="1:4" ht="15" thickBot="1">
      <c r="A20" s="364" t="s">
        <v>411</v>
      </c>
      <c r="B20" s="363">
        <v>500000</v>
      </c>
      <c r="C20" s="362">
        <v>500000</v>
      </c>
      <c r="D20" s="361">
        <f>C20/B20*100</f>
        <v>100</v>
      </c>
    </row>
    <row r="21" spans="1:4" ht="15.75" thickBot="1">
      <c r="A21" s="360" t="s">
        <v>28</v>
      </c>
      <c r="B21" s="359">
        <f>SUM(B19:B20)</f>
        <v>8462868</v>
      </c>
      <c r="C21" s="358">
        <f>SUM(C19:C20)</f>
        <v>8462868</v>
      </c>
      <c r="D21" s="357">
        <f>C21/B21*100</f>
        <v>100</v>
      </c>
    </row>
    <row r="91" ht="14.25" customHeight="1"/>
    <row r="326" spans="10:10">
      <c r="J326" t="e">
        <f>G326/D326</f>
        <v>#DIV/0!</v>
      </c>
    </row>
  </sheetData>
  <mergeCells count="3">
    <mergeCell ref="A2:D3"/>
    <mergeCell ref="A5:B5"/>
    <mergeCell ref="A15:B15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11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B5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9</vt:i4>
      </vt:variant>
    </vt:vector>
  </HeadingPairs>
  <TitlesOfParts>
    <vt:vector size="17" baseType="lpstr">
      <vt:lpstr>dochody</vt:lpstr>
      <vt:lpstr>wydatki</vt:lpstr>
      <vt:lpstr>dochody adm. rządowa</vt:lpstr>
      <vt:lpstr>wydatki adm rządowa</vt:lpstr>
      <vt:lpstr>doch. i wyd. szczeg. zasady </vt:lpstr>
      <vt:lpstr>dochody na wyod. rach.</vt:lpstr>
      <vt:lpstr>przych i rozch.</vt:lpstr>
      <vt:lpstr>Arkusz1</vt:lpstr>
      <vt:lpstr>dochody!Obszar_wydruku</vt:lpstr>
      <vt:lpstr>'dochody adm. rządowa'!Obszar_wydruku</vt:lpstr>
      <vt:lpstr>'dochody na wyod. rach.'!Obszar_wydruku</vt:lpstr>
      <vt:lpstr>'przych i rozch.'!Obszar_wydruku</vt:lpstr>
      <vt:lpstr>wydatki!Obszar_wydruku</vt:lpstr>
      <vt:lpstr>'wydatki adm rządowa'!Obszar_wydruku</vt:lpstr>
      <vt:lpstr>dochody!Tytuły_wydruku</vt:lpstr>
      <vt:lpstr>'dochody na wyod. rach.'!Tytuły_wydruku</vt:lpstr>
      <vt:lpstr>wydatki!Tytuły_wydruku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a.szynal</cp:lastModifiedBy>
  <cp:lastPrinted>2013-03-25T11:41:33Z</cp:lastPrinted>
  <dcterms:created xsi:type="dcterms:W3CDTF">2011-07-29T07:34:59Z</dcterms:created>
  <dcterms:modified xsi:type="dcterms:W3CDTF">2013-04-17T07:09:51Z</dcterms:modified>
</cp:coreProperties>
</file>