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\fs\KZ\KZ_I\.1POSIEDZENIA ZARZĄDU\474 - 28 marca 2023\Materiały\Dep. Budżetu i Finansów\UZ zmiana Fundusz Pomocy\"/>
    </mc:Choice>
  </mc:AlternateContent>
  <xr:revisionPtr revIDLastSave="0" documentId="13_ncr:1_{1092BB72-DD60-4BFB-AB77-6D5128DB318D}" xr6:coauthVersionLast="36" xr6:coauthVersionMax="36" xr10:uidLastSave="{00000000-0000-0000-0000-000000000000}"/>
  <bookViews>
    <workbookView xWindow="720" yWindow="360" windowWidth="18000" windowHeight="11265" tabRatio="878" xr2:uid="{00000000-000D-0000-FFFF-FFFF00000000}"/>
  </bookViews>
  <sheets>
    <sheet name="uchwała budżetowa" sheetId="2" r:id="rId1"/>
  </sheets>
  <definedNames>
    <definedName name="_xlnm.Print_Area" localSheetId="0">'uchwała budżetowa'!$A$1:$G$61</definedName>
    <definedName name="_xlnm.Print_Titles" localSheetId="0">'uchwała budżetowa'!$4:$5</definedName>
  </definedNames>
  <calcPr calcId="191029"/>
</workbook>
</file>

<file path=xl/calcChain.xml><?xml version="1.0" encoding="utf-8"?>
<calcChain xmlns="http://schemas.openxmlformats.org/spreadsheetml/2006/main">
  <c r="E42" i="2" l="1"/>
  <c r="E40" i="2"/>
  <c r="E37" i="2"/>
  <c r="E49" i="2"/>
  <c r="E48" i="2"/>
  <c r="E47" i="2"/>
  <c r="E46" i="2"/>
  <c r="E45" i="2"/>
  <c r="E44" i="2"/>
  <c r="E43" i="2"/>
  <c r="E31" i="2"/>
  <c r="E29" i="2"/>
  <c r="E28" i="2"/>
  <c r="E9" i="2"/>
  <c r="H43" i="2" l="1"/>
  <c r="H47" i="2"/>
  <c r="H45" i="2"/>
  <c r="E13" i="2" l="1"/>
  <c r="H28" i="2"/>
  <c r="E39" i="2" l="1"/>
  <c r="E23" i="2" l="1"/>
  <c r="H37" i="2"/>
  <c r="E12" i="2" l="1"/>
  <c r="E11" i="2" s="1"/>
  <c r="E8" i="2"/>
  <c r="E7" i="2" s="1"/>
  <c r="E6" i="2" s="1"/>
  <c r="E51" i="2"/>
  <c r="E50" i="2" s="1"/>
  <c r="E22" i="2"/>
  <c r="D51" i="2" l="1"/>
  <c r="D28" i="2" l="1"/>
  <c r="D42" i="2"/>
  <c r="D40" i="2"/>
  <c r="D39" i="2"/>
  <c r="D37" i="2"/>
  <c r="D31" i="2"/>
  <c r="D29" i="2"/>
  <c r="D9" i="2"/>
  <c r="D8" i="2" s="1"/>
  <c r="D50" i="2" l="1"/>
  <c r="D10" i="2" l="1"/>
  <c r="D57" i="2"/>
  <c r="D56" i="2"/>
  <c r="D55" i="2"/>
  <c r="D54" i="2"/>
  <c r="D53" i="2"/>
  <c r="D52" i="2"/>
  <c r="D21" i="2" l="1"/>
  <c r="D20" i="2"/>
  <c r="D19" i="2"/>
  <c r="D18" i="2"/>
  <c r="D17" i="2"/>
  <c r="D16" i="2"/>
  <c r="D15" i="2"/>
  <c r="D14" i="2"/>
  <c r="D13" i="2" l="1"/>
  <c r="D12" i="2"/>
  <c r="D36" i="2"/>
  <c r="D35" i="2"/>
  <c r="D38" i="2"/>
  <c r="D34" i="2"/>
  <c r="D33" i="2"/>
  <c r="D41" i="2"/>
  <c r="D32" i="2"/>
  <c r="D30" i="2"/>
  <c r="D27" i="2" l="1"/>
  <c r="D26" i="2"/>
  <c r="D25" i="2"/>
  <c r="D24" i="2"/>
  <c r="D23" i="2" l="1"/>
  <c r="D22" i="2" s="1"/>
  <c r="D11" i="2" s="1"/>
  <c r="K27" i="2"/>
  <c r="D7" i="2" l="1"/>
  <c r="D6" i="2" l="1"/>
</calcChain>
</file>

<file path=xl/sharedStrings.xml><?xml version="1.0" encoding="utf-8"?>
<sst xmlns="http://schemas.openxmlformats.org/spreadsheetml/2006/main" count="100" uniqueCount="66">
  <si>
    <t>§</t>
  </si>
  <si>
    <t>NAZWA</t>
  </si>
  <si>
    <t>758</t>
  </si>
  <si>
    <t xml:space="preserve">Różne rozliczenia </t>
  </si>
  <si>
    <t xml:space="preserve">DOCHODY </t>
  </si>
  <si>
    <t>WYDATKI OGÓŁEM, W TYM:</t>
  </si>
  <si>
    <t>DZIAŁ        ROZDZIAŁ</t>
  </si>
  <si>
    <t>Kwota 
w zł</t>
  </si>
  <si>
    <t>75814</t>
  </si>
  <si>
    <t>Różne rozliczenia finansowe</t>
  </si>
  <si>
    <t>801</t>
  </si>
  <si>
    <t>OŚWIATA I WYCHOWANIE</t>
  </si>
  <si>
    <t>754</t>
  </si>
  <si>
    <t>75421</t>
  </si>
  <si>
    <t>BEZPIECZEŃSTWO PUBLICZNE I OCHRONA PRZECIWPOŻAROWA</t>
  </si>
  <si>
    <t>Zarządzanie kryzysowe</t>
  </si>
  <si>
    <t>4300</t>
  </si>
  <si>
    <t>80195</t>
  </si>
  <si>
    <t>Pozostała działalność</t>
  </si>
  <si>
    <t>4110</t>
  </si>
  <si>
    <t>4120</t>
  </si>
  <si>
    <t>4210</t>
  </si>
  <si>
    <t>4240</t>
  </si>
  <si>
    <t>4790</t>
  </si>
  <si>
    <t>4010</t>
  </si>
  <si>
    <t>2700</t>
  </si>
  <si>
    <t>Środki na dofinansowanie własnych zadań bieżących gmin, powiatów (związków gmin, związków powiatowo-gminnych, związków powiatów), samorządów województw, pozyskane z innych źródeł</t>
  </si>
  <si>
    <t>Składki na ubezpieczenia społeczne</t>
  </si>
  <si>
    <t>Składki na Fundusz Pracy oraz Fundusz Solidarnościowy</t>
  </si>
  <si>
    <t>Wynagrodzenia osobowe pracowników</t>
  </si>
  <si>
    <t>Zakup materiałów i wyposażenia</t>
  </si>
  <si>
    <t>Zakup środków dydaktycznych i książek</t>
  </si>
  <si>
    <t>Wpłaty na PPK finansowane przez podmiot zatrudniający</t>
  </si>
  <si>
    <t>Wynagrodzenia osobowe nauczycieli</t>
  </si>
  <si>
    <t xml:space="preserve">Jednostka realizująca zadanie </t>
  </si>
  <si>
    <t>Zespół Szkół przy Klinicznym Szpitalu Wojewódzkim Nr 2 w Rzeszowie</t>
  </si>
  <si>
    <t>Podkarpacki Zespół Placówek Wojewódzkich w Rzeszowie</t>
  </si>
  <si>
    <t>Zakup usług pozostałych</t>
  </si>
  <si>
    <t xml:space="preserve">Plan finansowy dla rachunku dochodów pochodzących ze środków Funduszu Pomocy i wydatków nimi finansowanych  </t>
  </si>
  <si>
    <t>Wojewódzka Stacja Pogotowia Ratunkowego w Przemyślu SPZOZ</t>
  </si>
  <si>
    <t>Wojewódzka Stacja Pogotowia Ratunkowego w Rzeszowie</t>
  </si>
  <si>
    <t>Przeznaczenie</t>
  </si>
  <si>
    <t xml:space="preserve">Dodatkowe zadania oświatowe związane z kształceniem, wychowaniem i opieką nad dziećmi i uczniami będącymi obywatelami Ukrainy w związku z konfliktem zbrojnym na terytorium tego państwa.
 </t>
  </si>
  <si>
    <t>Utworzenie i prowadzenie punktów medycznych przy punkcie recepcyjnym/punktu medycznego.</t>
  </si>
  <si>
    <t>Organizacja transportu osób w pozycji leżącej z punktów medycznych zlokalizowanych przy przejściach granicznych oraz z punktów recepcyjnych.</t>
  </si>
  <si>
    <t>POMOC SPOŁECZNA</t>
  </si>
  <si>
    <t>Regionalne ośrodki polityki społecznej</t>
  </si>
  <si>
    <t>Regionalny Ośrodek Polityki Społecznej w Rzeszowie</t>
  </si>
  <si>
    <t xml:space="preserve">Realizacja  pomocy obywatelom Ukrainy, poprzez podjęcie działań polegających na:
1)  uruchomieniu, zapewnieniu funkcjonowania, obsługi i doposażenia magazynu zbiórki pomocy humanitarnej przy ulicy Hetmańskiej 9 w Rzeszowie,
2) zapewnieniu funkcjonowania, obsługi (w tym transportu, dystrybucji), doposażenia magazynu prowadzonego przez Podkarpacki Bank Żywności znajdującego się przy ulicy Konopnickiej 18 w Rzeszowie.
</t>
  </si>
  <si>
    <t>4350</t>
  </si>
  <si>
    <t>4750</t>
  </si>
  <si>
    <t>4850</t>
  </si>
  <si>
    <t xml:space="preserve">Zakup towarów (w szczególności materiałów, leków, żywności) 
w związku z pomocą obywatelom Ukrainy </t>
  </si>
  <si>
    <t>Wynagrodzenia nauczycieli wypłacane w związku z pomocą obywatelom Ukrainy</t>
  </si>
  <si>
    <t xml:space="preserve">Składniki i inne pochodne od wynagrodzeń pracowników wypłacanych w związku z pomocą obywatelom Ukrainy </t>
  </si>
  <si>
    <t xml:space="preserve">Środki z Funduszu Pomocy na finansowanie lub dofinansowanie zadań bieżących w zakresie pomocy obywatelom Ukrainy </t>
  </si>
  <si>
    <t>4370</t>
  </si>
  <si>
    <t>Zakup usług związanych z pomocą obywatelom Ukrainy</t>
  </si>
  <si>
    <t>Zakup towarów (w szczególności materiałów, leków, żywności) w związku z pomocą obywatelom Ukrainy</t>
  </si>
  <si>
    <t>Wynagrodzenia i uposażenia wypłacane w związku z pomocą obywatelom Ukrainy</t>
  </si>
  <si>
    <t>Składki i inne pochodne od wynagrodzeń pracowników wypłacanych w związku z pomocą obywatelom Ukrainy</t>
  </si>
  <si>
    <t>Składniki i inne pochodne od wynagrodzeń pracowników wypłacanych w związku z pomocą obywatelom Ukrainy</t>
  </si>
  <si>
    <t xml:space="preserve">Medyczno-Społeczne Centrum Kształcenia Zawodowego i Ustawicznego w Przemyślu </t>
  </si>
  <si>
    <t>Medyczno-Społeczne Centrum Kształcenia Zawodowego i Ustawicznego w Jaśle</t>
  </si>
  <si>
    <t>Medyczno-Społeczne Centrum Kształcenia Zawodowego i Ustawicznego w Rzeszowie</t>
  </si>
  <si>
    <t xml:space="preserve">Załącznik do Uchwały Nr 474/9875/23
Zarządu Województwa Podkarpackiego
w Rzeszowie
z dnia 28 marca 2023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</si>
</sst>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i/>
      <sz val="11"/>
      <name val="Times New Roman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name val="Times New Roman CE"/>
      <family val="1"/>
      <charset val="238"/>
    </font>
    <font>
      <sz val="11"/>
      <name val="Arial CE"/>
      <charset val="238"/>
    </font>
    <font>
      <sz val="11"/>
      <color rgb="FF333333"/>
      <name val="Open Sans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5">
    <xf numFmtId="0" fontId="0" fillId="0" borderId="0" xfId="0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3" fontId="6" fillId="0" borderId="0" xfId="0" applyNumberFormat="1" applyFont="1" applyBorder="1" applyAlignment="1">
      <alignment horizontal="right" vertical="center"/>
    </xf>
    <xf numFmtId="0" fontId="3" fillId="3" borderId="0" xfId="0" applyFont="1" applyFill="1" applyAlignment="1">
      <alignment vertical="center"/>
    </xf>
    <xf numFmtId="3" fontId="4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3" fontId="2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3" fontId="11" fillId="0" borderId="3" xfId="0" applyNumberFormat="1" applyFont="1" applyFill="1" applyBorder="1" applyAlignment="1">
      <alignment horizontal="right" vertical="center"/>
    </xf>
    <xf numFmtId="3" fontId="11" fillId="0" borderId="5" xfId="0" applyNumberFormat="1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4" fillId="0" borderId="7" xfId="0" applyFont="1" applyBorder="1" applyAlignment="1">
      <alignment vertical="center"/>
    </xf>
    <xf numFmtId="0" fontId="14" fillId="0" borderId="7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1" fillId="0" borderId="7" xfId="0" applyFont="1" applyBorder="1" applyAlignment="1">
      <alignment horizontal="left" vertical="center"/>
    </xf>
    <xf numFmtId="0" fontId="11" fillId="0" borderId="7" xfId="0" applyFont="1" applyBorder="1" applyAlignment="1">
      <alignment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9" fontId="11" fillId="0" borderId="7" xfId="0" applyNumberFormat="1" applyFont="1" applyBorder="1" applyAlignment="1" applyProtection="1">
      <alignment horizontal="left" vertical="center" wrapText="1"/>
    </xf>
    <xf numFmtId="0" fontId="11" fillId="0" borderId="15" xfId="0" applyFont="1" applyBorder="1" applyAlignment="1">
      <alignment vertical="center"/>
    </xf>
    <xf numFmtId="0" fontId="11" fillId="0" borderId="11" xfId="0" applyFont="1" applyFill="1" applyBorder="1" applyAlignment="1">
      <alignment vertical="center" wrapText="1"/>
    </xf>
    <xf numFmtId="49" fontId="11" fillId="0" borderId="22" xfId="0" applyNumberFormat="1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/>
    </xf>
    <xf numFmtId="0" fontId="11" fillId="0" borderId="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6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49" fontId="11" fillId="0" borderId="19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49" fontId="11" fillId="0" borderId="4" xfId="0" applyNumberFormat="1" applyFont="1" applyBorder="1" applyAlignment="1" applyProtection="1">
      <alignment horizontal="center" vertical="center"/>
    </xf>
    <xf numFmtId="49" fontId="10" fillId="3" borderId="21" xfId="0" applyNumberFormat="1" applyFont="1" applyFill="1" applyBorder="1" applyAlignment="1" applyProtection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horizontal="right" vertical="center"/>
    </xf>
    <xf numFmtId="3" fontId="10" fillId="2" borderId="23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vertical="center"/>
    </xf>
    <xf numFmtId="0" fontId="10" fillId="2" borderId="23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49" fontId="11" fillId="0" borderId="19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49" fontId="11" fillId="0" borderId="11" xfId="0" applyNumberFormat="1" applyFont="1" applyBorder="1" applyAlignment="1" applyProtection="1">
      <alignment horizontal="left" vertical="center"/>
    </xf>
    <xf numFmtId="49" fontId="10" fillId="3" borderId="2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 applyProtection="1">
      <alignment horizontal="center" vertical="center"/>
    </xf>
    <xf numFmtId="0" fontId="10" fillId="3" borderId="23" xfId="0" applyFont="1" applyFill="1" applyBorder="1" applyAlignment="1">
      <alignment horizontal="left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left" vertical="center" wrapText="1"/>
    </xf>
    <xf numFmtId="3" fontId="11" fillId="0" borderId="1" xfId="0" applyNumberFormat="1" applyFont="1" applyBorder="1" applyAlignment="1">
      <alignment vertical="center"/>
    </xf>
    <xf numFmtId="3" fontId="10" fillId="3" borderId="40" xfId="0" applyNumberFormat="1" applyFont="1" applyFill="1" applyBorder="1" applyAlignment="1">
      <alignment horizontal="right" vertical="center"/>
    </xf>
    <xf numFmtId="3" fontId="11" fillId="0" borderId="38" xfId="0" applyNumberFormat="1" applyFont="1" applyBorder="1" applyAlignment="1">
      <alignment horizontal="right" vertical="center"/>
    </xf>
    <xf numFmtId="3" fontId="11" fillId="0" borderId="39" xfId="0" applyNumberFormat="1" applyFont="1" applyBorder="1" applyAlignment="1">
      <alignment horizontal="right" vertical="center"/>
    </xf>
    <xf numFmtId="3" fontId="11" fillId="0" borderId="2" xfId="0" applyNumberFormat="1" applyFont="1" applyBorder="1" applyAlignment="1">
      <alignment horizontal="right" vertical="center"/>
    </xf>
    <xf numFmtId="3" fontId="11" fillId="0" borderId="36" xfId="0" applyNumberFormat="1" applyFont="1" applyBorder="1" applyAlignment="1">
      <alignment horizontal="right" vertical="center"/>
    </xf>
    <xf numFmtId="3" fontId="11" fillId="0" borderId="37" xfId="0" applyNumberFormat="1" applyFont="1" applyBorder="1" applyAlignment="1">
      <alignment horizontal="right" vertical="center"/>
    </xf>
    <xf numFmtId="3" fontId="10" fillId="3" borderId="1" xfId="0" applyNumberFormat="1" applyFont="1" applyFill="1" applyBorder="1" applyAlignment="1" applyProtection="1">
      <alignment horizontal="right" vertical="center"/>
    </xf>
    <xf numFmtId="3" fontId="11" fillId="0" borderId="19" xfId="0" applyNumberFormat="1" applyFont="1" applyFill="1" applyBorder="1" applyAlignment="1" applyProtection="1">
      <alignment horizontal="right" vertical="center"/>
    </xf>
    <xf numFmtId="3" fontId="11" fillId="0" borderId="17" xfId="0" applyNumberFormat="1" applyFont="1" applyFill="1" applyBorder="1" applyAlignment="1">
      <alignment horizontal="right" vertical="center"/>
    </xf>
    <xf numFmtId="3" fontId="11" fillId="0" borderId="2" xfId="0" applyNumberFormat="1" applyFont="1" applyFill="1" applyBorder="1" applyAlignment="1" applyProtection="1">
      <alignment horizontal="right" vertical="center"/>
    </xf>
    <xf numFmtId="1" fontId="10" fillId="0" borderId="34" xfId="0" applyNumberFormat="1" applyFont="1" applyBorder="1" applyAlignment="1">
      <alignment horizontal="center" vertical="center" wrapText="1"/>
    </xf>
    <xf numFmtId="1" fontId="10" fillId="0" borderId="35" xfId="0" applyNumberFormat="1" applyFont="1" applyBorder="1" applyAlignment="1">
      <alignment horizontal="center" vertical="center" wrapText="1"/>
    </xf>
    <xf numFmtId="49" fontId="10" fillId="3" borderId="20" xfId="0" applyNumberFormat="1" applyFont="1" applyFill="1" applyBorder="1" applyAlignment="1" applyProtection="1">
      <alignment horizontal="center" vertical="center"/>
    </xf>
    <xf numFmtId="49" fontId="10" fillId="3" borderId="12" xfId="0" applyNumberFormat="1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vertical="center" wrapText="1"/>
    </xf>
    <xf numFmtId="3" fontId="11" fillId="0" borderId="27" xfId="0" applyNumberFormat="1" applyFont="1" applyFill="1" applyBorder="1" applyAlignment="1">
      <alignment horizontal="right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4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3" fontId="10" fillId="0" borderId="24" xfId="0" applyNumberFormat="1" applyFont="1" applyBorder="1" applyAlignment="1">
      <alignment vertical="center"/>
    </xf>
    <xf numFmtId="3" fontId="10" fillId="0" borderId="1" xfId="0" applyNumberFormat="1" applyFont="1" applyBorder="1" applyAlignment="1">
      <alignment vertical="center"/>
    </xf>
    <xf numFmtId="0" fontId="11" fillId="0" borderId="7" xfId="0" applyFont="1" applyBorder="1" applyAlignment="1">
      <alignment horizontal="left" vertical="center" wrapText="1"/>
    </xf>
    <xf numFmtId="3" fontId="10" fillId="3" borderId="21" xfId="0" applyNumberFormat="1" applyFont="1" applyFill="1" applyBorder="1" applyAlignment="1">
      <alignment horizontal="right" vertical="center"/>
    </xf>
    <xf numFmtId="3" fontId="11" fillId="0" borderId="22" xfId="0" applyNumberFormat="1" applyFont="1" applyFill="1" applyBorder="1" applyAlignment="1">
      <alignment horizontal="right" vertical="center"/>
    </xf>
    <xf numFmtId="3" fontId="11" fillId="0" borderId="19" xfId="0" applyNumberFormat="1" applyFont="1" applyFill="1" applyBorder="1" applyAlignment="1">
      <alignment horizontal="right" vertical="center"/>
    </xf>
    <xf numFmtId="3" fontId="11" fillId="0" borderId="18" xfId="0" applyNumberFormat="1" applyFont="1" applyFill="1" applyBorder="1" applyAlignment="1">
      <alignment horizontal="right" vertical="center"/>
    </xf>
    <xf numFmtId="3" fontId="11" fillId="0" borderId="16" xfId="0" applyNumberFormat="1" applyFont="1" applyFill="1" applyBorder="1" applyAlignment="1">
      <alignment horizontal="right" vertical="center"/>
    </xf>
    <xf numFmtId="3" fontId="11" fillId="0" borderId="17" xfId="0" applyNumberFormat="1" applyFont="1" applyBorder="1" applyAlignment="1">
      <alignment vertical="center"/>
    </xf>
    <xf numFmtId="3" fontId="11" fillId="0" borderId="17" xfId="0" applyNumberFormat="1" applyFont="1" applyBorder="1" applyAlignment="1">
      <alignment horizontal="right" vertical="center"/>
    </xf>
    <xf numFmtId="3" fontId="11" fillId="0" borderId="27" xfId="0" applyNumberFormat="1" applyFont="1" applyBorder="1" applyAlignment="1">
      <alignment horizontal="right" vertical="center"/>
    </xf>
    <xf numFmtId="3" fontId="11" fillId="0" borderId="16" xfId="0" applyNumberFormat="1" applyFont="1" applyBorder="1" applyAlignment="1">
      <alignment horizontal="right" vertical="center"/>
    </xf>
    <xf numFmtId="3" fontId="11" fillId="0" borderId="20" xfId="0" applyNumberFormat="1" applyFont="1" applyBorder="1" applyAlignment="1">
      <alignment horizontal="right" vertical="center"/>
    </xf>
    <xf numFmtId="3" fontId="11" fillId="0" borderId="21" xfId="0" applyNumberFormat="1" applyFont="1" applyBorder="1" applyAlignment="1">
      <alignment horizontal="right" vertical="center"/>
    </xf>
    <xf numFmtId="3" fontId="11" fillId="0" borderId="19" xfId="0" applyNumberFormat="1" applyFont="1" applyBorder="1" applyAlignment="1">
      <alignment horizontal="right" vertical="center"/>
    </xf>
    <xf numFmtId="3" fontId="10" fillId="3" borderId="1" xfId="0" applyNumberFormat="1" applyFont="1" applyFill="1" applyBorder="1" applyAlignment="1">
      <alignment horizontal="right" vertical="center"/>
    </xf>
    <xf numFmtId="3" fontId="11" fillId="0" borderId="6" xfId="0" applyNumberFormat="1" applyFont="1" applyFill="1" applyBorder="1" applyAlignment="1">
      <alignment horizontal="right" vertical="center"/>
    </xf>
    <xf numFmtId="3" fontId="11" fillId="0" borderId="4" xfId="0" applyNumberFormat="1" applyFont="1" applyFill="1" applyBorder="1" applyAlignment="1">
      <alignment horizontal="right" vertical="center"/>
    </xf>
    <xf numFmtId="3" fontId="11" fillId="0" borderId="2" xfId="0" applyNumberFormat="1" applyFont="1" applyFill="1" applyBorder="1" applyAlignment="1">
      <alignment horizontal="right" vertical="center"/>
    </xf>
    <xf numFmtId="3" fontId="11" fillId="0" borderId="3" xfId="0" applyNumberFormat="1" applyFont="1" applyBorder="1" applyAlignment="1">
      <alignment vertical="center"/>
    </xf>
    <xf numFmtId="3" fontId="11" fillId="0" borderId="3" xfId="0" applyNumberFormat="1" applyFont="1" applyBorder="1" applyAlignment="1">
      <alignment horizontal="right" vertical="center"/>
    </xf>
    <xf numFmtId="3" fontId="11" fillId="0" borderId="5" xfId="0" applyNumberFormat="1" applyFont="1" applyBorder="1" applyAlignment="1">
      <alignment horizontal="right" vertical="center"/>
    </xf>
    <xf numFmtId="3" fontId="11" fillId="0" borderId="12" xfId="0" applyNumberFormat="1" applyFont="1" applyBorder="1" applyAlignment="1">
      <alignment horizontal="right" vertical="center"/>
    </xf>
    <xf numFmtId="3" fontId="11" fillId="0" borderId="13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right" vertical="center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49" fontId="10" fillId="0" borderId="28" xfId="0" applyNumberFormat="1" applyFont="1" applyFill="1" applyBorder="1" applyAlignment="1" applyProtection="1">
      <alignment horizontal="center" vertical="center"/>
    </xf>
    <xf numFmtId="49" fontId="10" fillId="0" borderId="12" xfId="0" applyNumberFormat="1" applyFont="1" applyFill="1" applyBorder="1" applyAlignment="1" applyProtection="1">
      <alignment horizontal="center" vertical="center"/>
    </xf>
    <xf numFmtId="0" fontId="11" fillId="3" borderId="28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0" fontId="10" fillId="3" borderId="12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2" borderId="24" xfId="0" applyFont="1" applyFill="1" applyBorder="1" applyAlignment="1" applyProtection="1">
      <alignment horizontal="center" vertical="center" wrapText="1"/>
    </xf>
    <xf numFmtId="0" fontId="9" fillId="2" borderId="25" xfId="0" applyFont="1" applyFill="1" applyBorder="1" applyAlignment="1" applyProtection="1">
      <alignment horizontal="center" vertical="center" wrapText="1"/>
    </xf>
    <xf numFmtId="0" fontId="9" fillId="2" borderId="26" xfId="0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left" vertical="center"/>
    </xf>
    <xf numFmtId="0" fontId="9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49" fontId="11" fillId="0" borderId="17" xfId="0" applyNumberFormat="1" applyFont="1" applyBorder="1" applyAlignment="1" applyProtection="1">
      <alignment horizontal="center" vertical="center"/>
    </xf>
    <xf numFmtId="49" fontId="11" fillId="0" borderId="3" xfId="0" applyNumberFormat="1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>
      <alignment horizontal="left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49" fontId="11" fillId="0" borderId="18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 applyProtection="1">
      <alignment horizontal="center" vertical="center"/>
    </xf>
    <xf numFmtId="49" fontId="11" fillId="0" borderId="5" xfId="0" applyNumberFormat="1" applyFont="1" applyFill="1" applyBorder="1" applyAlignment="1" applyProtection="1">
      <alignment horizontal="center" vertical="center"/>
    </xf>
    <xf numFmtId="0" fontId="11" fillId="0" borderId="15" xfId="0" applyFont="1" applyFill="1" applyBorder="1" applyAlignment="1">
      <alignment horizontal="left" vertical="center" wrapText="1"/>
    </xf>
    <xf numFmtId="3" fontId="10" fillId="0" borderId="32" xfId="0" applyNumberFormat="1" applyFont="1" applyBorder="1" applyAlignment="1">
      <alignment horizontal="center" vertical="center" wrapText="1"/>
    </xf>
    <xf numFmtId="3" fontId="10" fillId="0" borderId="33" xfId="0" applyNumberFormat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1"/>
  <sheetViews>
    <sheetView tabSelected="1" view="pageBreakPreview" zoomScale="110" zoomScaleNormal="100" zoomScaleSheetLayoutView="110" workbookViewId="0">
      <pane xSplit="4" topLeftCell="E1" activePane="topRight" state="frozen"/>
      <selection pane="topRight" activeCell="L5" sqref="L5"/>
    </sheetView>
  </sheetViews>
  <sheetFormatPr defaultRowHeight="12.75"/>
  <cols>
    <col min="1" max="1" width="11.42578125" style="2" customWidth="1"/>
    <col min="2" max="2" width="6.5703125" style="2" bestFit="1" customWidth="1"/>
    <col min="3" max="3" width="91.7109375" style="2" customWidth="1"/>
    <col min="4" max="5" width="18.140625" style="3" customWidth="1"/>
    <col min="6" max="6" width="25" style="2" customWidth="1"/>
    <col min="7" max="7" width="34.85546875" style="1" customWidth="1"/>
    <col min="8" max="8" width="14.7109375" style="1" hidden="1" customWidth="1"/>
    <col min="9" max="16384" width="9.140625" style="1"/>
  </cols>
  <sheetData>
    <row r="1" spans="1:11" ht="70.5" customHeight="1">
      <c r="D1" s="141" t="s">
        <v>65</v>
      </c>
      <c r="E1" s="141"/>
      <c r="F1" s="141"/>
      <c r="G1" s="141"/>
    </row>
    <row r="2" spans="1:11" ht="45.75" customHeight="1">
      <c r="A2" s="146" t="s">
        <v>38</v>
      </c>
      <c r="B2" s="146"/>
      <c r="C2" s="146"/>
      <c r="D2" s="146"/>
      <c r="E2" s="146"/>
      <c r="F2" s="146"/>
      <c r="G2" s="146"/>
    </row>
    <row r="3" spans="1:11" ht="13.5" customHeight="1" thickBot="1">
      <c r="A3" s="152"/>
      <c r="B3" s="152"/>
      <c r="C3" s="152"/>
      <c r="D3" s="4"/>
      <c r="E3" s="4"/>
    </row>
    <row r="4" spans="1:11" ht="33.75" customHeight="1">
      <c r="A4" s="159" t="s">
        <v>6</v>
      </c>
      <c r="B4" s="161" t="s">
        <v>0</v>
      </c>
      <c r="C4" s="163" t="s">
        <v>1</v>
      </c>
      <c r="D4" s="173" t="s">
        <v>7</v>
      </c>
      <c r="E4" s="174"/>
      <c r="F4" s="144" t="s">
        <v>34</v>
      </c>
      <c r="G4" s="147" t="s">
        <v>41</v>
      </c>
    </row>
    <row r="5" spans="1:11" ht="24.75" customHeight="1" thickBot="1">
      <c r="A5" s="160"/>
      <c r="B5" s="162"/>
      <c r="C5" s="164"/>
      <c r="D5" s="72">
        <v>2022</v>
      </c>
      <c r="E5" s="73">
        <v>2023</v>
      </c>
      <c r="F5" s="145"/>
      <c r="G5" s="148"/>
    </row>
    <row r="6" spans="1:11" s="7" customFormat="1" ht="19.5" customHeight="1" thickBot="1">
      <c r="A6" s="153" t="s">
        <v>4</v>
      </c>
      <c r="B6" s="154"/>
      <c r="C6" s="155"/>
      <c r="D6" s="44">
        <f>D7</f>
        <v>2682423</v>
      </c>
      <c r="E6" s="44">
        <f>E7</f>
        <v>114293</v>
      </c>
      <c r="F6" s="47"/>
      <c r="G6" s="48"/>
    </row>
    <row r="7" spans="1:11" s="5" customFormat="1" ht="18" customHeight="1" thickBot="1">
      <c r="A7" s="52" t="s">
        <v>2</v>
      </c>
      <c r="B7" s="53"/>
      <c r="C7" s="54" t="s">
        <v>3</v>
      </c>
      <c r="D7" s="62">
        <f>SUM(D8)</f>
        <v>2682423</v>
      </c>
      <c r="E7" s="62">
        <f>SUM(E8)</f>
        <v>114293</v>
      </c>
      <c r="F7" s="125"/>
      <c r="G7" s="142"/>
    </row>
    <row r="8" spans="1:11" ht="18" customHeight="1">
      <c r="A8" s="49" t="s">
        <v>8</v>
      </c>
      <c r="B8" s="50"/>
      <c r="C8" s="51" t="s">
        <v>9</v>
      </c>
      <c r="D8" s="65">
        <f>D9</f>
        <v>2682423</v>
      </c>
      <c r="E8" s="65">
        <f>E9</f>
        <v>114293</v>
      </c>
      <c r="F8" s="143"/>
      <c r="G8" s="142"/>
      <c r="J8" s="10"/>
      <c r="K8" s="10"/>
    </row>
    <row r="9" spans="1:11" ht="31.5" customHeight="1">
      <c r="A9" s="168"/>
      <c r="B9" s="25">
        <v>2100</v>
      </c>
      <c r="C9" s="27" t="s">
        <v>55</v>
      </c>
      <c r="D9" s="63">
        <f>17288+16467+2330891+76522+181000+19529+19482+21244</f>
        <v>2682423</v>
      </c>
      <c r="E9" s="64">
        <f>15000+19342+40206+39745</f>
        <v>114293</v>
      </c>
      <c r="F9" s="143"/>
      <c r="G9" s="142"/>
      <c r="K9" s="10"/>
    </row>
    <row r="10" spans="1:11" ht="0.75" customHeight="1" thickBot="1">
      <c r="A10" s="169"/>
      <c r="B10" s="40" t="s">
        <v>25</v>
      </c>
      <c r="C10" s="34" t="s">
        <v>26</v>
      </c>
      <c r="D10" s="66">
        <f>1584938+40935+152138+593815+19705+181000+15882-76522-2330891-181000</f>
        <v>0</v>
      </c>
      <c r="E10" s="67"/>
      <c r="F10" s="126"/>
      <c r="G10" s="142"/>
    </row>
    <row r="11" spans="1:11" s="6" customFormat="1" ht="25.5" customHeight="1" thickBot="1">
      <c r="A11" s="149" t="s">
        <v>5</v>
      </c>
      <c r="B11" s="150"/>
      <c r="C11" s="151"/>
      <c r="D11" s="44">
        <f>D12+D22+D50</f>
        <v>2682423</v>
      </c>
      <c r="E11" s="44">
        <f>E12+E22+E50</f>
        <v>114293</v>
      </c>
      <c r="F11" s="45"/>
      <c r="G11" s="46"/>
    </row>
    <row r="12" spans="1:11" s="5" customFormat="1" ht="31.5" customHeight="1" thickBot="1">
      <c r="A12" s="41" t="s">
        <v>12</v>
      </c>
      <c r="B12" s="42"/>
      <c r="C12" s="43" t="s">
        <v>14</v>
      </c>
      <c r="D12" s="68">
        <f>D13</f>
        <v>2330891</v>
      </c>
      <c r="E12" s="68">
        <f>E13</f>
        <v>15000</v>
      </c>
      <c r="F12" s="125"/>
      <c r="G12" s="129"/>
    </row>
    <row r="13" spans="1:11" s="9" customFormat="1" ht="23.25" customHeight="1">
      <c r="A13" s="38" t="s">
        <v>13</v>
      </c>
      <c r="B13" s="39"/>
      <c r="C13" s="29" t="s">
        <v>15</v>
      </c>
      <c r="D13" s="69">
        <f>SUM(D18:D21)</f>
        <v>2330891</v>
      </c>
      <c r="E13" s="71">
        <f>SUM(E18:E21)</f>
        <v>15000</v>
      </c>
      <c r="F13" s="143"/>
      <c r="G13" s="118"/>
    </row>
    <row r="14" spans="1:11" ht="60" hidden="1" customHeight="1">
      <c r="A14" s="156"/>
      <c r="B14" s="157" t="s">
        <v>16</v>
      </c>
      <c r="C14" s="158" t="s">
        <v>37</v>
      </c>
      <c r="D14" s="70">
        <f>1329938+483815-1813753</f>
        <v>0</v>
      </c>
      <c r="E14" s="12"/>
      <c r="F14" s="58" t="s">
        <v>39</v>
      </c>
      <c r="G14" s="118"/>
      <c r="H14" s="10"/>
    </row>
    <row r="15" spans="1:11" ht="60" hidden="1" customHeight="1">
      <c r="A15" s="156"/>
      <c r="B15" s="157"/>
      <c r="C15" s="158"/>
      <c r="D15" s="70">
        <f>255000-255000</f>
        <v>0</v>
      </c>
      <c r="E15" s="12"/>
      <c r="F15" s="58" t="s">
        <v>40</v>
      </c>
      <c r="G15" s="118"/>
      <c r="J15" s="10"/>
    </row>
    <row r="16" spans="1:11" ht="57" hidden="1" customHeight="1">
      <c r="A16" s="156"/>
      <c r="B16" s="157"/>
      <c r="C16" s="158"/>
      <c r="D16" s="70">
        <f>142878+100000-142878-100000</f>
        <v>0</v>
      </c>
      <c r="E16" s="12"/>
      <c r="F16" s="58" t="s">
        <v>39</v>
      </c>
      <c r="G16" s="118" t="s">
        <v>44</v>
      </c>
      <c r="H16" s="10"/>
    </row>
    <row r="17" spans="1:11" ht="56.25" hidden="1" customHeight="1">
      <c r="A17" s="156"/>
      <c r="B17" s="157"/>
      <c r="C17" s="158"/>
      <c r="D17" s="70">
        <f>9260+10000-9260-10000</f>
        <v>0</v>
      </c>
      <c r="E17" s="12"/>
      <c r="F17" s="58" t="s">
        <v>40</v>
      </c>
      <c r="G17" s="118"/>
    </row>
    <row r="18" spans="1:11" ht="60" customHeight="1">
      <c r="A18" s="156"/>
      <c r="B18" s="157" t="s">
        <v>56</v>
      </c>
      <c r="C18" s="158" t="s">
        <v>57</v>
      </c>
      <c r="D18" s="70">
        <f>1813753</f>
        <v>1813753</v>
      </c>
      <c r="E18" s="12">
        <v>0</v>
      </c>
      <c r="F18" s="58" t="s">
        <v>39</v>
      </c>
      <c r="G18" s="128" t="s">
        <v>43</v>
      </c>
      <c r="H18" s="10"/>
    </row>
    <row r="19" spans="1:11" ht="60" customHeight="1">
      <c r="A19" s="156"/>
      <c r="B19" s="157"/>
      <c r="C19" s="158"/>
      <c r="D19" s="70">
        <f>255000</f>
        <v>255000</v>
      </c>
      <c r="E19" s="12">
        <v>0</v>
      </c>
      <c r="F19" s="58" t="s">
        <v>40</v>
      </c>
      <c r="G19" s="129"/>
      <c r="J19" s="10"/>
    </row>
    <row r="20" spans="1:11" ht="57" customHeight="1">
      <c r="A20" s="156"/>
      <c r="B20" s="157"/>
      <c r="C20" s="158"/>
      <c r="D20" s="70">
        <f>142878+100000</f>
        <v>242878</v>
      </c>
      <c r="E20" s="12">
        <v>10000</v>
      </c>
      <c r="F20" s="58" t="s">
        <v>39</v>
      </c>
      <c r="G20" s="118" t="s">
        <v>44</v>
      </c>
      <c r="H20" s="10"/>
    </row>
    <row r="21" spans="1:11" ht="56.25" customHeight="1" thickBot="1">
      <c r="A21" s="170"/>
      <c r="B21" s="171"/>
      <c r="C21" s="172"/>
      <c r="D21" s="77">
        <f>9260+10000</f>
        <v>19260</v>
      </c>
      <c r="E21" s="13">
        <v>5000</v>
      </c>
      <c r="F21" s="59" t="s">
        <v>40</v>
      </c>
      <c r="G21" s="127"/>
    </row>
    <row r="22" spans="1:11" s="5" customFormat="1" ht="18" customHeight="1" thickBot="1">
      <c r="A22" s="74" t="s">
        <v>10</v>
      </c>
      <c r="B22" s="75"/>
      <c r="C22" s="76" t="s">
        <v>11</v>
      </c>
      <c r="D22" s="93">
        <f>D23</f>
        <v>170532</v>
      </c>
      <c r="E22" s="105">
        <f>E23</f>
        <v>99293</v>
      </c>
      <c r="F22" s="125"/>
      <c r="G22" s="138" t="s">
        <v>42</v>
      </c>
    </row>
    <row r="23" spans="1:11" ht="18" customHeight="1" thickBot="1">
      <c r="A23" s="30" t="s">
        <v>17</v>
      </c>
      <c r="B23" s="31"/>
      <c r="C23" s="32" t="s">
        <v>18</v>
      </c>
      <c r="D23" s="94">
        <f>SUM(D24:D49)</f>
        <v>170532</v>
      </c>
      <c r="E23" s="33">
        <f>SUM(E24:E49)</f>
        <v>99293</v>
      </c>
      <c r="F23" s="126"/>
      <c r="G23" s="139"/>
    </row>
    <row r="24" spans="1:11" ht="17.25" hidden="1" customHeight="1">
      <c r="A24" s="136"/>
      <c r="B24" s="24" t="s">
        <v>19</v>
      </c>
      <c r="C24" s="29" t="s">
        <v>27</v>
      </c>
      <c r="D24" s="95">
        <f>1694+308+124-2126</f>
        <v>0</v>
      </c>
      <c r="E24" s="106"/>
      <c r="F24" s="165" t="s">
        <v>35</v>
      </c>
      <c r="G24" s="139"/>
      <c r="H24" s="10"/>
    </row>
    <row r="25" spans="1:11" ht="17.25" hidden="1" customHeight="1">
      <c r="A25" s="137"/>
      <c r="B25" s="22" t="s">
        <v>20</v>
      </c>
      <c r="C25" s="15" t="s">
        <v>28</v>
      </c>
      <c r="D25" s="70">
        <f>243+44+17-304</f>
        <v>0</v>
      </c>
      <c r="E25" s="12"/>
      <c r="F25" s="166"/>
      <c r="G25" s="139"/>
    </row>
    <row r="26" spans="1:11" ht="17.25" hidden="1" customHeight="1">
      <c r="A26" s="137"/>
      <c r="B26" s="22" t="s">
        <v>21</v>
      </c>
      <c r="C26" s="16" t="s">
        <v>30</v>
      </c>
      <c r="D26" s="70">
        <f>3650-3650</f>
        <v>0</v>
      </c>
      <c r="E26" s="12"/>
      <c r="F26" s="166"/>
      <c r="G26" s="139"/>
    </row>
    <row r="27" spans="1:11" ht="17.25" hidden="1" customHeight="1">
      <c r="A27" s="137"/>
      <c r="B27" s="22" t="s">
        <v>22</v>
      </c>
      <c r="C27" s="16" t="s">
        <v>31</v>
      </c>
      <c r="D27" s="96">
        <f>3017+1105+1177-5299</f>
        <v>0</v>
      </c>
      <c r="E27" s="107"/>
      <c r="F27" s="166"/>
      <c r="G27" s="139"/>
      <c r="K27" s="10">
        <f>H24+H32</f>
        <v>0</v>
      </c>
    </row>
    <row r="28" spans="1:11" ht="33" customHeight="1">
      <c r="A28" s="137"/>
      <c r="B28" s="22" t="s">
        <v>49</v>
      </c>
      <c r="C28" s="17" t="s">
        <v>52</v>
      </c>
      <c r="D28" s="97">
        <f>1800+1679+8949+1816+2515+3017</f>
        <v>19776</v>
      </c>
      <c r="E28" s="12">
        <f>1826+4332+7733</f>
        <v>13891</v>
      </c>
      <c r="F28" s="166"/>
      <c r="G28" s="139"/>
      <c r="H28" s="10">
        <f>SUM(E28:E31)</f>
        <v>23561</v>
      </c>
      <c r="J28" s="10"/>
    </row>
    <row r="29" spans="1:11" ht="17.25" customHeight="1">
      <c r="A29" s="137"/>
      <c r="B29" s="22" t="s">
        <v>50</v>
      </c>
      <c r="C29" s="16" t="s">
        <v>53</v>
      </c>
      <c r="D29" s="70">
        <f>1722+1350+12429+1461+780+2395</f>
        <v>20137</v>
      </c>
      <c r="E29" s="12">
        <f>1690+2994+3322</f>
        <v>8006</v>
      </c>
      <c r="F29" s="166"/>
      <c r="G29" s="139"/>
    </row>
    <row r="30" spans="1:11" s="8" customFormat="1" ht="17.25" hidden="1" customHeight="1">
      <c r="A30" s="137"/>
      <c r="B30" s="22" t="s">
        <v>23</v>
      </c>
      <c r="C30" s="15" t="s">
        <v>33</v>
      </c>
      <c r="D30" s="70">
        <f>9900+1799+730-12429</f>
        <v>0</v>
      </c>
      <c r="E30" s="12"/>
      <c r="F30" s="166"/>
      <c r="G30" s="139"/>
    </row>
    <row r="31" spans="1:11" s="8" customFormat="1" ht="29.25" thickBot="1">
      <c r="A31" s="137"/>
      <c r="B31" s="23" t="s">
        <v>51</v>
      </c>
      <c r="C31" s="18" t="s">
        <v>54</v>
      </c>
      <c r="D31" s="77">
        <f>334+286+2430+309+165+506</f>
        <v>4030</v>
      </c>
      <c r="E31" s="13">
        <f>329+633+702</f>
        <v>1664</v>
      </c>
      <c r="F31" s="167"/>
      <c r="G31" s="139"/>
    </row>
    <row r="32" spans="1:11" s="8" customFormat="1" ht="17.25" hidden="1" customHeight="1">
      <c r="A32" s="137"/>
      <c r="B32" s="24" t="s">
        <v>24</v>
      </c>
      <c r="C32" s="19" t="s">
        <v>29</v>
      </c>
      <c r="D32" s="95">
        <f>11160-11160</f>
        <v>0</v>
      </c>
      <c r="E32" s="106"/>
      <c r="F32" s="122" t="s">
        <v>36</v>
      </c>
      <c r="G32" s="139"/>
      <c r="H32" s="11"/>
    </row>
    <row r="33" spans="1:8" s="8" customFormat="1" ht="17.25" hidden="1" customHeight="1">
      <c r="A33" s="137"/>
      <c r="B33" s="22" t="s">
        <v>19</v>
      </c>
      <c r="C33" s="14" t="s">
        <v>27</v>
      </c>
      <c r="D33" s="70">
        <f>1920+549+549-3018</f>
        <v>0</v>
      </c>
      <c r="E33" s="12"/>
      <c r="F33" s="123"/>
      <c r="G33" s="139"/>
    </row>
    <row r="34" spans="1:8" s="8" customFormat="1" ht="17.25" hidden="1" customHeight="1">
      <c r="A34" s="137"/>
      <c r="B34" s="22" t="s">
        <v>20</v>
      </c>
      <c r="C34" s="15" t="s">
        <v>28</v>
      </c>
      <c r="D34" s="70">
        <f>276-276</f>
        <v>0</v>
      </c>
      <c r="E34" s="12"/>
      <c r="F34" s="123"/>
      <c r="G34" s="139"/>
    </row>
    <row r="35" spans="1:8" s="8" customFormat="1" ht="17.25" hidden="1" customHeight="1">
      <c r="A35" s="137"/>
      <c r="B35" s="22" t="s">
        <v>21</v>
      </c>
      <c r="C35" s="16" t="s">
        <v>30</v>
      </c>
      <c r="D35" s="70">
        <f>3000+4879+6200-14079</f>
        <v>0</v>
      </c>
      <c r="E35" s="12"/>
      <c r="F35" s="123"/>
      <c r="G35" s="139"/>
    </row>
    <row r="36" spans="1:8" s="8" customFormat="1" ht="17.25" hidden="1" customHeight="1">
      <c r="A36" s="137"/>
      <c r="B36" s="22" t="s">
        <v>22</v>
      </c>
      <c r="C36" s="16" t="s">
        <v>31</v>
      </c>
      <c r="D36" s="96">
        <f>5907+7960+4024-17891</f>
        <v>0</v>
      </c>
      <c r="E36" s="107"/>
      <c r="F36" s="123"/>
      <c r="G36" s="139"/>
    </row>
    <row r="37" spans="1:8" s="8" customFormat="1" ht="33" customHeight="1">
      <c r="A37" s="137"/>
      <c r="B37" s="22" t="s">
        <v>49</v>
      </c>
      <c r="C37" s="17" t="s">
        <v>52</v>
      </c>
      <c r="D37" s="97">
        <f>9822+9542+31970+8573+8652+7956</f>
        <v>76515</v>
      </c>
      <c r="E37" s="108">
        <f>7381+9507+7303</f>
        <v>24191</v>
      </c>
      <c r="F37" s="123"/>
      <c r="G37" s="139"/>
      <c r="H37" s="11">
        <f>SUM(E37:E42)</f>
        <v>48954</v>
      </c>
    </row>
    <row r="38" spans="1:8" ht="17.25" hidden="1" customHeight="1">
      <c r="A38" s="137"/>
      <c r="B38" s="25">
        <v>4710</v>
      </c>
      <c r="C38" s="16" t="s">
        <v>32</v>
      </c>
      <c r="D38" s="98">
        <f>168-168</f>
        <v>0</v>
      </c>
      <c r="E38" s="109"/>
      <c r="F38" s="123"/>
      <c r="G38" s="139"/>
    </row>
    <row r="39" spans="1:8" ht="17.25" customHeight="1">
      <c r="A39" s="137"/>
      <c r="B39" s="25">
        <v>4740</v>
      </c>
      <c r="C39" s="16" t="s">
        <v>59</v>
      </c>
      <c r="D39" s="98">
        <f>11160+6160+6160+6160</f>
        <v>29640</v>
      </c>
      <c r="E39" s="109">
        <f>6700+6700</f>
        <v>13400</v>
      </c>
      <c r="F39" s="123"/>
      <c r="G39" s="139"/>
    </row>
    <row r="40" spans="1:8" ht="17.25" customHeight="1">
      <c r="A40" s="137"/>
      <c r="B40" s="25">
        <v>4750</v>
      </c>
      <c r="C40" s="16" t="s">
        <v>53</v>
      </c>
      <c r="D40" s="98">
        <f>3061+3061+17282-11160</f>
        <v>12244</v>
      </c>
      <c r="E40" s="109">
        <f>7280</f>
        <v>7280</v>
      </c>
      <c r="F40" s="123"/>
      <c r="G40" s="139"/>
    </row>
    <row r="41" spans="1:8" ht="17.25" hidden="1" customHeight="1">
      <c r="A41" s="137"/>
      <c r="B41" s="25">
        <v>4790</v>
      </c>
      <c r="C41" s="20" t="s">
        <v>33</v>
      </c>
      <c r="D41" s="99">
        <f>3061+3061-6122</f>
        <v>0</v>
      </c>
      <c r="E41" s="110"/>
      <c r="F41" s="123"/>
      <c r="G41" s="139"/>
    </row>
    <row r="42" spans="1:8" ht="30.75" customHeight="1" thickBot="1">
      <c r="A42" s="137"/>
      <c r="B42" s="26">
        <v>4850</v>
      </c>
      <c r="C42" s="55" t="s">
        <v>54</v>
      </c>
      <c r="D42" s="100">
        <f>549+549+3462+1210+1210+1210</f>
        <v>8190</v>
      </c>
      <c r="E42" s="111">
        <f>1416+1416+1251</f>
        <v>4083</v>
      </c>
      <c r="F42" s="124"/>
      <c r="G42" s="139"/>
    </row>
    <row r="43" spans="1:8" ht="34.5" customHeight="1">
      <c r="A43" s="137"/>
      <c r="B43" s="81">
        <v>4750</v>
      </c>
      <c r="C43" s="83" t="s">
        <v>53</v>
      </c>
      <c r="D43" s="101">
        <v>0</v>
      </c>
      <c r="E43" s="65">
        <f>1689+1310</f>
        <v>2999</v>
      </c>
      <c r="F43" s="115" t="s">
        <v>62</v>
      </c>
      <c r="G43" s="139"/>
      <c r="H43" s="10">
        <f>E43+E44</f>
        <v>3532</v>
      </c>
    </row>
    <row r="44" spans="1:8" ht="38.1" customHeight="1" thickBot="1">
      <c r="A44" s="137"/>
      <c r="B44" s="78">
        <v>4850</v>
      </c>
      <c r="C44" s="86" t="s">
        <v>61</v>
      </c>
      <c r="D44" s="102">
        <v>0</v>
      </c>
      <c r="E44" s="112">
        <f>320+213</f>
        <v>533</v>
      </c>
      <c r="F44" s="117"/>
      <c r="G44" s="139"/>
    </row>
    <row r="45" spans="1:8" ht="31.5" customHeight="1">
      <c r="A45" s="137"/>
      <c r="B45" s="81">
        <v>4750</v>
      </c>
      <c r="C45" s="82" t="s">
        <v>53</v>
      </c>
      <c r="D45" s="101">
        <v>0</v>
      </c>
      <c r="E45" s="65">
        <f>2192+1343</f>
        <v>3535</v>
      </c>
      <c r="F45" s="115" t="s">
        <v>63</v>
      </c>
      <c r="G45" s="139"/>
      <c r="H45" s="10">
        <f>E45+E46</f>
        <v>4226</v>
      </c>
    </row>
    <row r="46" spans="1:8" ht="30.75" customHeight="1" thickBot="1">
      <c r="A46" s="137"/>
      <c r="B46" s="79">
        <v>4850</v>
      </c>
      <c r="C46" s="80" t="s">
        <v>61</v>
      </c>
      <c r="D46" s="103">
        <v>0</v>
      </c>
      <c r="E46" s="113">
        <f>429+262</f>
        <v>691</v>
      </c>
      <c r="F46" s="117"/>
      <c r="G46" s="139"/>
    </row>
    <row r="47" spans="1:8" ht="30.75" customHeight="1">
      <c r="A47" s="137"/>
      <c r="B47" s="84">
        <v>4350</v>
      </c>
      <c r="C47" s="85" t="s">
        <v>58</v>
      </c>
      <c r="D47" s="104">
        <v>0</v>
      </c>
      <c r="E47" s="114">
        <f>6372</f>
        <v>6372</v>
      </c>
      <c r="F47" s="115" t="s">
        <v>64</v>
      </c>
      <c r="G47" s="139"/>
      <c r="H47" s="10">
        <f>E47+E48+E49</f>
        <v>19020</v>
      </c>
    </row>
    <row r="48" spans="1:8" ht="22.5" customHeight="1">
      <c r="A48" s="137"/>
      <c r="B48" s="25">
        <v>4750</v>
      </c>
      <c r="C48" s="92" t="s">
        <v>53</v>
      </c>
      <c r="D48" s="99">
        <v>0</v>
      </c>
      <c r="E48" s="110">
        <f>3026+7543</f>
        <v>10569</v>
      </c>
      <c r="F48" s="116"/>
      <c r="G48" s="139"/>
    </row>
    <row r="49" spans="1:7" ht="30.75" customHeight="1" thickBot="1">
      <c r="A49" s="137"/>
      <c r="B49" s="78">
        <v>4850</v>
      </c>
      <c r="C49" s="86" t="s">
        <v>61</v>
      </c>
      <c r="D49" s="102">
        <v>0</v>
      </c>
      <c r="E49" s="113">
        <f>596+1483</f>
        <v>2079</v>
      </c>
      <c r="F49" s="117"/>
      <c r="G49" s="140"/>
    </row>
    <row r="50" spans="1:7" ht="21.95" customHeight="1" thickBot="1">
      <c r="A50" s="87">
        <v>852</v>
      </c>
      <c r="B50" s="88"/>
      <c r="C50" s="89" t="s">
        <v>45</v>
      </c>
      <c r="D50" s="90">
        <f>D51</f>
        <v>181000</v>
      </c>
      <c r="E50" s="91">
        <f>E51</f>
        <v>0</v>
      </c>
      <c r="F50" s="115" t="s">
        <v>47</v>
      </c>
      <c r="G50" s="130" t="s">
        <v>48</v>
      </c>
    </row>
    <row r="51" spans="1:7" ht="21" customHeight="1" thickBot="1">
      <c r="A51" s="35">
        <v>85217</v>
      </c>
      <c r="B51" s="36"/>
      <c r="C51" s="37" t="s">
        <v>46</v>
      </c>
      <c r="D51" s="61">
        <f>SUM(D58:D61)</f>
        <v>181000</v>
      </c>
      <c r="E51" s="61">
        <f>SUM(E58:E61)</f>
        <v>0</v>
      </c>
      <c r="F51" s="116"/>
      <c r="G51" s="131"/>
    </row>
    <row r="52" spans="1:7" ht="31.5" hidden="1" customHeight="1">
      <c r="A52" s="119"/>
      <c r="B52" s="25">
        <v>4010</v>
      </c>
      <c r="C52" s="21" t="s">
        <v>29</v>
      </c>
      <c r="D52" s="61">
        <f>51451-51451</f>
        <v>0</v>
      </c>
      <c r="E52" s="61"/>
      <c r="F52" s="116"/>
      <c r="G52" s="131"/>
    </row>
    <row r="53" spans="1:7" ht="30.75" hidden="1" customHeight="1">
      <c r="A53" s="120"/>
      <c r="B53" s="25">
        <v>4110</v>
      </c>
      <c r="C53" s="21" t="s">
        <v>27</v>
      </c>
      <c r="D53" s="61">
        <f>8885-8885</f>
        <v>0</v>
      </c>
      <c r="E53" s="61"/>
      <c r="F53" s="116"/>
      <c r="G53" s="131"/>
    </row>
    <row r="54" spans="1:7" ht="32.25" hidden="1" customHeight="1">
      <c r="A54" s="120"/>
      <c r="B54" s="25">
        <v>4120</v>
      </c>
      <c r="C54" s="21" t="s">
        <v>28</v>
      </c>
      <c r="D54" s="61">
        <f>1261-1261</f>
        <v>0</v>
      </c>
      <c r="E54" s="61"/>
      <c r="F54" s="116"/>
      <c r="G54" s="131"/>
    </row>
    <row r="55" spans="1:7" ht="27.75" hidden="1" customHeight="1">
      <c r="A55" s="120"/>
      <c r="B55" s="25">
        <v>4210</v>
      </c>
      <c r="C55" s="21" t="s">
        <v>30</v>
      </c>
      <c r="D55" s="61">
        <f>23606-23606</f>
        <v>0</v>
      </c>
      <c r="E55" s="61"/>
      <c r="F55" s="116"/>
      <c r="G55" s="131"/>
    </row>
    <row r="56" spans="1:7" ht="27" hidden="1" customHeight="1">
      <c r="A56" s="120"/>
      <c r="B56" s="25">
        <v>4300</v>
      </c>
      <c r="C56" s="21" t="s">
        <v>37</v>
      </c>
      <c r="D56" s="61">
        <f>95000-95000</f>
        <v>0</v>
      </c>
      <c r="E56" s="61"/>
      <c r="F56" s="116"/>
      <c r="G56" s="131"/>
    </row>
    <row r="57" spans="1:7" ht="15" hidden="1" thickBot="1">
      <c r="A57" s="121"/>
      <c r="B57" s="26">
        <v>4710</v>
      </c>
      <c r="C57" s="28" t="s">
        <v>32</v>
      </c>
      <c r="D57" s="61">
        <f>797-797</f>
        <v>0</v>
      </c>
      <c r="E57" s="61"/>
      <c r="F57" s="116"/>
      <c r="G57" s="131"/>
    </row>
    <row r="58" spans="1:7" ht="39.950000000000003" customHeight="1" thickBot="1">
      <c r="A58" s="133"/>
      <c r="B58" s="56">
        <v>4350</v>
      </c>
      <c r="C58" s="60" t="s">
        <v>58</v>
      </c>
      <c r="D58" s="57">
        <v>23606</v>
      </c>
      <c r="E58" s="57">
        <v>0</v>
      </c>
      <c r="F58" s="116"/>
      <c r="G58" s="131"/>
    </row>
    <row r="59" spans="1:7" ht="39.950000000000003" customHeight="1" thickBot="1">
      <c r="A59" s="134"/>
      <c r="B59" s="56">
        <v>4370</v>
      </c>
      <c r="C59" s="60" t="s">
        <v>57</v>
      </c>
      <c r="D59" s="57">
        <v>95000</v>
      </c>
      <c r="E59" s="57">
        <v>0</v>
      </c>
      <c r="F59" s="116"/>
      <c r="G59" s="131"/>
    </row>
    <row r="60" spans="1:7" ht="39.950000000000003" customHeight="1" thickBot="1">
      <c r="A60" s="134"/>
      <c r="B60" s="56">
        <v>4740</v>
      </c>
      <c r="C60" s="60" t="s">
        <v>59</v>
      </c>
      <c r="D60" s="57">
        <v>51451</v>
      </c>
      <c r="E60" s="57">
        <v>0</v>
      </c>
      <c r="F60" s="116"/>
      <c r="G60" s="131"/>
    </row>
    <row r="61" spans="1:7" ht="39.950000000000003" customHeight="1" thickBot="1">
      <c r="A61" s="135"/>
      <c r="B61" s="56">
        <v>4850</v>
      </c>
      <c r="C61" s="60" t="s">
        <v>60</v>
      </c>
      <c r="D61" s="57">
        <v>10943</v>
      </c>
      <c r="E61" s="57">
        <v>0</v>
      </c>
      <c r="F61" s="117"/>
      <c r="G61" s="132"/>
    </row>
  </sheetData>
  <mergeCells count="37">
    <mergeCell ref="C4:C5"/>
    <mergeCell ref="F24:F31"/>
    <mergeCell ref="A9:A10"/>
    <mergeCell ref="A18:A21"/>
    <mergeCell ref="B18:B21"/>
    <mergeCell ref="C18:C21"/>
    <mergeCell ref="D4:E4"/>
    <mergeCell ref="D1:G1"/>
    <mergeCell ref="G12:G15"/>
    <mergeCell ref="G7:G10"/>
    <mergeCell ref="F12:F13"/>
    <mergeCell ref="F4:F5"/>
    <mergeCell ref="F7:F10"/>
    <mergeCell ref="A2:G2"/>
    <mergeCell ref="G4:G5"/>
    <mergeCell ref="A11:C11"/>
    <mergeCell ref="A3:C3"/>
    <mergeCell ref="A6:C6"/>
    <mergeCell ref="A14:A17"/>
    <mergeCell ref="B14:B17"/>
    <mergeCell ref="C14:C17"/>
    <mergeCell ref="A4:A5"/>
    <mergeCell ref="B4:B5"/>
    <mergeCell ref="F47:F49"/>
    <mergeCell ref="G16:G17"/>
    <mergeCell ref="A52:A57"/>
    <mergeCell ref="F32:F42"/>
    <mergeCell ref="F22:F23"/>
    <mergeCell ref="G20:G21"/>
    <mergeCell ref="G18:G19"/>
    <mergeCell ref="F50:F61"/>
    <mergeCell ref="G50:G61"/>
    <mergeCell ref="A58:A61"/>
    <mergeCell ref="A24:A49"/>
    <mergeCell ref="G22:G49"/>
    <mergeCell ref="F43:F44"/>
    <mergeCell ref="F45:F4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fitToHeight="0" orientation="landscape" r:id="rId1"/>
  <rowBreaks count="1" manualBreakCount="1">
    <brk id="2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uchwała budżetowa</vt:lpstr>
      <vt:lpstr>'uchwała budżetowa'!Obszar_wydruku</vt:lpstr>
      <vt:lpstr>'uchwała budżetowa'!Tytuły_wydruku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d.gruszczynska</dc:creator>
  <cp:lastModifiedBy>Ortyl Jakub</cp:lastModifiedBy>
  <cp:lastPrinted>2023-03-28T11:39:33Z</cp:lastPrinted>
  <dcterms:created xsi:type="dcterms:W3CDTF">2012-01-27T07:20:45Z</dcterms:created>
  <dcterms:modified xsi:type="dcterms:W3CDTF">2023-03-28T11:39:35Z</dcterms:modified>
</cp:coreProperties>
</file>