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540" firstSheet="3" activeTab="3"/>
  </bookViews>
  <sheets>
    <sheet name="RIO-spłata" sheetId="1" r:id="rId1"/>
    <sheet name="wersja prawidłowa" sheetId="2" r:id="rId2"/>
    <sheet name="wersja prawidłowa I" sheetId="3" r:id="rId3"/>
    <sheet name="prognoza" sheetId="4" r:id="rId4"/>
  </sheets>
  <definedNames>
    <definedName name="_xlnm.Print_Area" localSheetId="3">'prognoza'!$A$1:$L$40</definedName>
    <definedName name="_xlnm.Print_Area" localSheetId="0">'RIO-spłata'!$A$37:$N$72</definedName>
    <definedName name="_xlnm.Print_Area" localSheetId="1">'wersja prawidłowa'!$A$2:$K$42</definedName>
    <definedName name="_xlnm.Print_Area" localSheetId="2">'wersja prawidłowa I'!$A$2:$K$52</definedName>
  </definedNames>
  <calcPr fullCalcOnLoad="1"/>
</workbook>
</file>

<file path=xl/sharedStrings.xml><?xml version="1.0" encoding="utf-8"?>
<sst xmlns="http://schemas.openxmlformats.org/spreadsheetml/2006/main" count="480" uniqueCount="224">
  <si>
    <t>Wyszczególnienie</t>
  </si>
  <si>
    <t>Prognoza</t>
  </si>
  <si>
    <t>t+1</t>
  </si>
  <si>
    <t>t+2</t>
  </si>
  <si>
    <t>t+3</t>
  </si>
  <si>
    <t>t+4</t>
  </si>
  <si>
    <t>t+5</t>
  </si>
  <si>
    <t>- podatek  rolny</t>
  </si>
  <si>
    <t>- podatek  od  nieruchomości</t>
  </si>
  <si>
    <t>- inne  podatki  wraz  z  opłatami</t>
  </si>
  <si>
    <t>- dochody z  majątku  gminy</t>
  </si>
  <si>
    <t>- pozostałe  dochody</t>
  </si>
  <si>
    <t>2</t>
  </si>
  <si>
    <t>- od osób fizycznych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</si>
  <si>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</si>
  <si>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</si>
  <si>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</si>
  <si>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</si>
  <si>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</si>
  <si>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</si>
  <si>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</si>
  <si>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</si>
  <si>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</si>
  <si>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</si>
  <si>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3</t>
  </si>
  <si>
    <t>Dochody własne ogółem ( 01+07 )</t>
  </si>
  <si>
    <t>Dochody  własne  podstawowe
( 02+03+04+05+06 )</t>
  </si>
  <si>
    <t>4</t>
  </si>
  <si>
    <t>Subwencja  ogólna ( 12+13+14 )</t>
  </si>
  <si>
    <t>- drogowa</t>
  </si>
  <si>
    <t>- wyrównawcza</t>
  </si>
  <si>
    <t>5</t>
  </si>
  <si>
    <t>6</t>
  </si>
  <si>
    <t>Środki  własne ( 10+11 )</t>
  </si>
  <si>
    <t>Dotacje  celowe ( 17+18+19+20 )</t>
  </si>
  <si>
    <t>- na  zadania  własne</t>
  </si>
  <si>
    <t xml:space="preserve">- otrzymane  z  funduszy  celowych </t>
  </si>
  <si>
    <t>7</t>
  </si>
  <si>
    <t>Dochody  ogółem ( 15+16 )</t>
  </si>
  <si>
    <t>8</t>
  </si>
  <si>
    <t>Wydatki  bieżące ( 23+24+25 )</t>
  </si>
  <si>
    <t>- wynagrodzenia  i  pochodne</t>
  </si>
  <si>
    <t>- obsługa  długu</t>
  </si>
  <si>
    <t>- pozostałe</t>
  </si>
  <si>
    <t>9</t>
  </si>
  <si>
    <t>Wolne  środki ( 21-22 )</t>
  </si>
  <si>
    <t>Wolne środki na  inwestycje ( 26-28 )</t>
  </si>
  <si>
    <t>Wydatki  majatkowe ( 32+33 )</t>
  </si>
  <si>
    <t>- wydatki inwestycyjne</t>
  </si>
  <si>
    <t>- pozostałe wydatki  majątkowe</t>
  </si>
  <si>
    <t>- zaciągnięte  kredyty bankowe</t>
  </si>
  <si>
    <t>- zaciągnięte  pożyczki</t>
  </si>
  <si>
    <t>- środki z prywatyzacji majatku gminy</t>
  </si>
  <si>
    <t>Zmiana stanu środków w  danym  roku
( + / - )  ( 35+36 )</t>
  </si>
  <si>
    <t>- stan środków na początek danego roku</t>
  </si>
  <si>
    <t>Całkowite  zadłużenie gminy</t>
  </si>
  <si>
    <t>2005/2004</t>
  </si>
  <si>
    <t>- na  zadania z  zakresu administracji rządowej</t>
  </si>
  <si>
    <t>- na  zadania  realizowane  na  podstawie
porozumień  z  organami  administracji  rządowej
i  między  jednostkami samorządu
terytorialnego</t>
  </si>
  <si>
    <t xml:space="preserve">- zobowiązania potencjalne np.udzielone
a niezrealizowane gwarancje i poręczenia,  inne </t>
  </si>
  <si>
    <t>Objaśnienia:</t>
  </si>
  <si>
    <t>** należy uwzględnić wnioskowany kredyt na przedsięwzięcie inwestycyjne oraz inne planowane kredyty.</t>
  </si>
  <si>
    <t>(data,stempel i podpis Wnioskodawcy/Poręczyciela)</t>
  </si>
  <si>
    <t>Numer
 wiersza</t>
  </si>
  <si>
    <t>( dla gmin )</t>
  </si>
  <si>
    <t>Prognoza  budżetów  Wnioskodawcy / Poręczyciela</t>
  </si>
  <si>
    <t>Udziały we wpływach do budżetu  
państwa z podatku dochodowego 
( 08+09 )</t>
  </si>
  <si>
    <t>- od osób prawnych i jednostek 
organizacyjnych nie posiadających 
osobowości prawnej</t>
  </si>
  <si>
    <t xml:space="preserve">- zobowiązania wymagalne np. raty kredytów** 
i pożyczek, wykup obligacji i innych papierów 
wartościowych, wymagalne gwarancje 
i poręczenia, inne </t>
  </si>
  <si>
    <t>Nadwyżka  ( + ) / deficyt ( - ) bez 
uwzględnienia zobowiązań wymagalnych 
i potencjalnych ( 26-31 )</t>
  </si>
  <si>
    <t>Nadwyżka  ( + ) / deficyt ( - ) z 
uwzględnieniem zobowiązań 
wymagalnych ( 30-31)</t>
  </si>
  <si>
    <t>suma środków pozyskanych na 
pokrycie deficytu ( 37+38+39+40 )</t>
  </si>
  <si>
    <t>zobowiązania wymagalne i potencjalne 
( 28+29 )</t>
  </si>
  <si>
    <t xml:space="preserve">- środki ze  sprzedaży obligacji i innych 
papierów wartościowych 
wyemitowanych przez gminę </t>
  </si>
  <si>
    <t>- t+1 - oznacza  koniec  aktualnego  roku budżetowego ( kolumna ta jest wypełaniana przez gminę 
  jedynie w przypadku ubiegania się o kredyt w I kwartale aktualnego roku budżetowego ),</t>
  </si>
  <si>
    <t>*  niepotrzebne skreślić</t>
  </si>
  <si>
    <t>...............................................................................................</t>
  </si>
  <si>
    <t>- spłaty  udzielonych  pożyczek</t>
  </si>
  <si>
    <t>- t+2.....t+n -  oznaczają odpowiednio  koniec kolejnych lat   budżetowych objętych okresem kredytowania 
  ( kolumny te są wypełaniane przez gminę w przypadku ubiegania się o kredyt, którego okres spłaty wykracza poza  aktualny rok budżetowy.</t>
  </si>
  <si>
    <t>1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</si>
  <si>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</si>
  <si>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</si>
  <si>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</si>
  <si>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</si>
  <si>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</si>
  <si>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</si>
  <si>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</si>
  <si>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</si>
  <si>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</si>
  <si>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</si>
  <si>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</si>
  <si>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</si>
  <si>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</si>
  <si>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</si>
  <si>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</si>
  <si>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</si>
  <si>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</si>
  <si>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</si>
  <si>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</si>
  <si>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</si>
  <si>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</si>
  <si>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</si>
  <si>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</si>
  <si>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</si>
  <si>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</si>
  <si>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</si>
  <si>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- oświatowa</t>
  </si>
  <si>
    <t>Stan środków na koniec danego roku ( 42+43 )</t>
  </si>
  <si>
    <t>Dochody  własne  podstawowe
( 02+03)</t>
  </si>
  <si>
    <t>Udziały we wpływach do budżetu  
państwa z podatku dochodowego 
( 05+06 )</t>
  </si>
  <si>
    <t>Dochody własne ogółem ( 01+04 )</t>
  </si>
  <si>
    <t>Subwencja  ogólna ( 09+10+11 )</t>
  </si>
  <si>
    <t>Środki  własne ( 07+08 )</t>
  </si>
  <si>
    <t>Dotacje  celowe ( 14+15+16+17 )</t>
  </si>
  <si>
    <t>Dochody  ogółem ( 12+13 )</t>
  </si>
  <si>
    <t>Wydatki  bieżące ( 20+21+22 )</t>
  </si>
  <si>
    <t>- obsługa  długu ( odsetki od kredytów)</t>
  </si>
  <si>
    <t xml:space="preserve">- dochody z  majątku  województwa </t>
  </si>
  <si>
    <t>Wolne środki na  inwestycje ( 23-24)</t>
  </si>
  <si>
    <t>Wydatki  majatkowe ( 30+31 )</t>
  </si>
  <si>
    <t>Nadwyżka  ( + ) / deficyt ( - ) z 
uwzględnieniem zobowiązań 
wymagalnych ( 28-29)</t>
  </si>
  <si>
    <t>suma środków pozyskanych na 
pokrycie deficytu ( 35+36)</t>
  </si>
  <si>
    <t xml:space="preserve">a)   raty kredytu  z  lat  ubiegłych             </t>
  </si>
  <si>
    <t>b)   planowany  (bieżący)  kredyt</t>
  </si>
  <si>
    <t xml:space="preserve">c)  udzielone  poręczenia </t>
  </si>
  <si>
    <t>Całkowite  zadłużenie województwa na koniec danego roku</t>
  </si>
  <si>
    <t xml:space="preserve">Prognoza kwoty długu na lata 2002 - 2008      województwa podkarpackiego </t>
  </si>
  <si>
    <t>Nadwyżka  ( + ) / deficyt ( - ) (23 - 29)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</si>
  <si>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</si>
  <si>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</si>
  <si>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</si>
  <si>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</si>
  <si>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</si>
  <si>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</si>
  <si>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</si>
  <si>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</si>
  <si>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</si>
  <si>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zobowiązania wymagalne  (25+26+27)
</t>
  </si>
  <si>
    <t>Różnica ( 18-19 )</t>
  </si>
  <si>
    <t>Stan środków na koniec roku
( + / - )  ( 33+34 )</t>
  </si>
  <si>
    <t>Stan środków na początek roku</t>
  </si>
  <si>
    <t>Stan środków na koniec roku</t>
  </si>
  <si>
    <t xml:space="preserve">Wydatki  majatkowe </t>
  </si>
  <si>
    <t>Nadwyżka  ( + ) / deficyt ( - ) (18-19-23)</t>
  </si>
  <si>
    <t>Nadwyżka  ( + ) / deficyt ( - ) z 
uwzględnieniem zobowiązań 
wymagalnych ( 24-25)</t>
  </si>
  <si>
    <t>Suma środków pozyskanych na 
pokrycie deficytu ( 31+32)</t>
  </si>
  <si>
    <t>Zobowiązania wymagalne  (26+27+28)</t>
  </si>
  <si>
    <t xml:space="preserve">Prognoza możliwości spłaty kredytu na lata 2002 - 2008     województwa podkarpackiego </t>
  </si>
  <si>
    <t xml:space="preserve">                                         </t>
  </si>
  <si>
    <t>2006/2005</t>
  </si>
  <si>
    <t>2007/2006</t>
  </si>
  <si>
    <t>2008/2007</t>
  </si>
  <si>
    <t>2009/2010</t>
  </si>
  <si>
    <t>2011/2010</t>
  </si>
  <si>
    <r>
      <t xml:space="preserve">-          </t>
    </r>
    <r>
      <rPr>
        <b/>
        <sz val="12"/>
        <rFont val="Times New Roman"/>
        <family val="1"/>
      </rPr>
      <t>kredyt  obrotowy  w  rachunku  kredytowym</t>
    </r>
  </si>
  <si>
    <r>
      <t xml:space="preserve">-          </t>
    </r>
    <r>
      <rPr>
        <b/>
        <sz val="12"/>
        <rFont val="Times New Roman"/>
        <family val="1"/>
      </rPr>
      <t>kredyt  na  przedsięwziącia  inwestycyjne</t>
    </r>
  </si>
  <si>
    <r>
      <t xml:space="preserve">-          </t>
    </r>
    <r>
      <rPr>
        <b/>
        <sz val="12"/>
        <rFont val="Times New Roman"/>
        <family val="1"/>
      </rPr>
      <t>kredyt  w  rachunku  bieżącym</t>
    </r>
  </si>
  <si>
    <r>
      <t xml:space="preserve">-          </t>
    </r>
    <r>
      <rPr>
        <b/>
        <sz val="12"/>
        <rFont val="Times New Roman"/>
        <family val="1"/>
      </rPr>
      <t>kredyt  płatniczy</t>
    </r>
  </si>
  <si>
    <r>
      <t xml:space="preserve">-          </t>
    </r>
    <r>
      <rPr>
        <b/>
        <sz val="12"/>
        <rFont val="Times New Roman"/>
        <family val="1"/>
      </rPr>
      <t>kredyt  na  finansowanie  potwierdzonych  czeków  rozrachunkowych</t>
    </r>
  </si>
  <si>
    <r>
      <t xml:space="preserve">-          </t>
    </r>
    <r>
      <rPr>
        <b/>
        <sz val="12"/>
        <rFont val="Times New Roman"/>
        <family val="1"/>
      </rPr>
      <t>nabywanie  wierzytelności  w  ramach  faktoringu</t>
    </r>
  </si>
  <si>
    <r>
      <t xml:space="preserve">-          </t>
    </r>
    <r>
      <rPr>
        <b/>
        <sz val="12"/>
        <rFont val="Times New Roman"/>
        <family val="1"/>
      </rPr>
      <t>nabywanie  wierzytelności  w  drodze  cesji</t>
    </r>
  </si>
  <si>
    <r>
      <t xml:space="preserve">-          </t>
    </r>
    <r>
      <rPr>
        <b/>
        <sz val="12"/>
        <rFont val="Times New Roman"/>
        <family val="1"/>
      </rPr>
      <t>nabywanie  wierzytelności  leasingowych*</t>
    </r>
  </si>
  <si>
    <t xml:space="preserve">Wskaźniki </t>
  </si>
  <si>
    <t>DOCHODY OGÓŁEM  w tym:</t>
  </si>
  <si>
    <t>A</t>
  </si>
  <si>
    <t>B</t>
  </si>
  <si>
    <t>C</t>
  </si>
  <si>
    <t>D</t>
  </si>
  <si>
    <t>Dotacje celowe na zadania z zakresu administracji rządowej</t>
  </si>
  <si>
    <t>E</t>
  </si>
  <si>
    <t>Dotacje celowe na zadania własne</t>
  </si>
  <si>
    <t>F</t>
  </si>
  <si>
    <t>II</t>
  </si>
  <si>
    <t>Wymagane poręczenia</t>
  </si>
  <si>
    <t>Wydatki majątkowe</t>
  </si>
  <si>
    <t>Dochody  własne  podstawowe z tego:</t>
  </si>
  <si>
    <t>Dotacje na zadania realizowane na podstawie porozumień
z organami administracji rządowej i między jednostkami samorządu terytorialnego</t>
  </si>
  <si>
    <t>dochody z  majątku  województwa</t>
  </si>
  <si>
    <t>pozostałe  dochody</t>
  </si>
  <si>
    <t>I</t>
  </si>
  <si>
    <t>Udział w podatkach stanowiących dochód budżetu państwa</t>
  </si>
  <si>
    <t>G</t>
  </si>
  <si>
    <t>Udzielone pożyczki</t>
  </si>
  <si>
    <t>Subwencje ogółem (wyrównawcza + oświatowa
+ regionalna)</t>
  </si>
  <si>
    <t>Przychody, w tym:</t>
  </si>
  <si>
    <t>z tytułu udzielonych pożyczek</t>
  </si>
  <si>
    <t>III.</t>
  </si>
  <si>
    <t>RAZEM DOCHODY I PRZYCHODY (I+II)</t>
  </si>
  <si>
    <t>IV.</t>
  </si>
  <si>
    <t>V.</t>
  </si>
  <si>
    <t>VI.</t>
  </si>
  <si>
    <t>ROZCHODY</t>
  </si>
  <si>
    <t>VII.</t>
  </si>
  <si>
    <t>VIII.</t>
  </si>
  <si>
    <t>IX.</t>
  </si>
  <si>
    <t>Wydatki bieżące, w tym:</t>
  </si>
  <si>
    <t>1.</t>
  </si>
  <si>
    <t>X.</t>
  </si>
  <si>
    <t>wolne środki</t>
  </si>
  <si>
    <t>A.</t>
  </si>
  <si>
    <t>Kredyt długoterminowy</t>
  </si>
  <si>
    <t>B.</t>
  </si>
  <si>
    <t>Pożyczka na prefinansowanie</t>
  </si>
  <si>
    <t>C.</t>
  </si>
  <si>
    <t>D.</t>
  </si>
  <si>
    <t>Stan zadłużenia na koniec roku poprzedzającego rok
budżetowy</t>
  </si>
  <si>
    <t>2.</t>
  </si>
  <si>
    <t>WYNIK ( I - IV )</t>
  </si>
  <si>
    <t>WYDATKI OGÓŁEM w tym:</t>
  </si>
  <si>
    <t>RAZEM WYDATKI + ROZCHODY (IV + VI)</t>
  </si>
  <si>
    <t>Spłata pożyczek na prefinansowanie programów i projektów
finansowanych z udziałem środków z funduszy strukturalnych i Funduszu Spójności</t>
  </si>
  <si>
    <t>KWOTA POTENCJALNYCH SPŁAT 
(IVA1+IV A 2+ VI A + VI B)</t>
  </si>
  <si>
    <t>Stan zadłużenia na koniec roku budżetowego (IX+IIA+IIB-VIA-VIB)</t>
  </si>
  <si>
    <t>Środki z budżetu Unii Europejskiej</t>
  </si>
  <si>
    <t>Spłata zaciągniętych kredytów, ogółem</t>
  </si>
  <si>
    <t xml:space="preserve">a) raty kredytów zaciągniętych w latach poprzednich </t>
  </si>
  <si>
    <t>b) planowany (bieżący) kredyt</t>
  </si>
  <si>
    <t>Koszty obsługi kredytów oraz pożyczek na prefinansowanie, w tym;</t>
  </si>
  <si>
    <t xml:space="preserve">b) kredytów zaciągniętych w latach poprzednich </t>
  </si>
  <si>
    <t>c)pożyczki na prefinansowanie</t>
  </si>
  <si>
    <t>( w tys. zł  )</t>
  </si>
  <si>
    <t>a) kredytu  planowanego do zaciągnięcia w 2007 r.</t>
  </si>
  <si>
    <t>Prognoza łacznej kwoty długu Województwa Podkarpackiego na koniec 2007 r. i lata następne</t>
  </si>
  <si>
    <t>Załącznik Nr 16
do  Uchwały Nr VI/67/07
Sejmiku Województwa Podkarpackiego w Rzeszowie 
z dnia 26 marca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</si>
</sst>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</numFmts>
  <fonts count="18">
    <font>
      <sz val="10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4"/>
      <name val="Times New Roman CE"/>
      <family val="1"/>
    </font>
    <font>
      <b/>
      <i/>
      <sz val="13"/>
      <name val="Times New Roman CE"/>
      <family val="1"/>
    </font>
    <font>
      <b/>
      <sz val="18"/>
      <name val="Times New Roman CE"/>
      <family val="1"/>
    </font>
    <font>
      <i/>
      <sz val="14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2" xfId="0" applyNumberFormat="1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4" fillId="0" borderId="2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vertical="center" wrapText="1"/>
    </xf>
    <xf numFmtId="49" fontId="7" fillId="0" borderId="2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vertical="center"/>
    </xf>
    <xf numFmtId="49" fontId="11" fillId="0" borderId="2" xfId="0" applyNumberFormat="1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vertical="center" wrapText="1"/>
    </xf>
    <xf numFmtId="4" fontId="15" fillId="0" borderId="0" xfId="0" applyNumberFormat="1" applyFont="1" applyAlignment="1">
      <alignment vertical="center"/>
    </xf>
    <xf numFmtId="49" fontId="15" fillId="0" borderId="2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left" vertical="center" wrapText="1"/>
    </xf>
    <xf numFmtId="49" fontId="14" fillId="4" borderId="1" xfId="0" applyNumberFormat="1" applyFont="1" applyFill="1" applyBorder="1" applyAlignment="1">
      <alignment horizontal="center" vertical="center"/>
    </xf>
    <xf numFmtId="49" fontId="14" fillId="4" borderId="2" xfId="0" applyNumberFormat="1" applyFont="1" applyFill="1" applyBorder="1" applyAlignment="1">
      <alignment vertical="center"/>
    </xf>
    <xf numFmtId="49" fontId="14" fillId="0" borderId="2" xfId="0" applyNumberFormat="1" applyFont="1" applyBorder="1" applyAlignment="1">
      <alignment vertical="center" wrapText="1"/>
    </xf>
    <xf numFmtId="49" fontId="14" fillId="0" borderId="2" xfId="0" applyNumberFormat="1" applyFont="1" applyBorder="1" applyAlignment="1">
      <alignment vertical="center"/>
    </xf>
    <xf numFmtId="49" fontId="14" fillId="3" borderId="3" xfId="0" applyNumberFormat="1" applyFont="1" applyFill="1" applyBorder="1" applyAlignment="1">
      <alignment horizontal="center" vertical="center"/>
    </xf>
    <xf numFmtId="49" fontId="14" fillId="3" borderId="4" xfId="0" applyNumberFormat="1" applyFont="1" applyFill="1" applyBorder="1" applyAlignment="1">
      <alignment vertical="center" wrapText="1"/>
    </xf>
    <xf numFmtId="49" fontId="14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3" fontId="15" fillId="0" borderId="0" xfId="0" applyNumberFormat="1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67" fontId="15" fillId="0" borderId="2" xfId="0" applyNumberFormat="1" applyFont="1" applyBorder="1" applyAlignment="1">
      <alignment horizontal="right" vertical="center"/>
    </xf>
    <xf numFmtId="167" fontId="14" fillId="0" borderId="8" xfId="0" applyNumberFormat="1" applyFont="1" applyBorder="1" applyAlignment="1">
      <alignment horizontal="right" vertical="center"/>
    </xf>
    <xf numFmtId="167" fontId="14" fillId="0" borderId="2" xfId="0" applyNumberFormat="1" applyFont="1" applyBorder="1" applyAlignment="1">
      <alignment horizontal="right" vertical="center"/>
    </xf>
    <xf numFmtId="167" fontId="14" fillId="3" borderId="2" xfId="0" applyNumberFormat="1" applyFont="1" applyFill="1" applyBorder="1" applyAlignment="1">
      <alignment horizontal="right" vertical="center"/>
    </xf>
    <xf numFmtId="167" fontId="14" fillId="4" borderId="2" xfId="0" applyNumberFormat="1" applyFont="1" applyFill="1" applyBorder="1" applyAlignment="1">
      <alignment horizontal="right" vertical="center"/>
    </xf>
    <xf numFmtId="167" fontId="15" fillId="3" borderId="4" xfId="0" applyNumberFormat="1" applyFont="1" applyFill="1" applyBorder="1" applyAlignment="1">
      <alignment horizontal="right" vertical="center"/>
    </xf>
    <xf numFmtId="167" fontId="14" fillId="0" borderId="5" xfId="0" applyNumberFormat="1" applyFont="1" applyBorder="1" applyAlignment="1">
      <alignment horizontal="right" vertical="center"/>
    </xf>
    <xf numFmtId="167" fontId="15" fillId="0" borderId="5" xfId="0" applyNumberFormat="1" applyFont="1" applyBorder="1" applyAlignment="1">
      <alignment horizontal="right" vertical="center"/>
    </xf>
    <xf numFmtId="167" fontId="14" fillId="3" borderId="5" xfId="0" applyNumberFormat="1" applyFont="1" applyFill="1" applyBorder="1" applyAlignment="1">
      <alignment horizontal="right" vertical="center"/>
    </xf>
    <xf numFmtId="167" fontId="14" fillId="4" borderId="5" xfId="0" applyNumberFormat="1" applyFont="1" applyFill="1" applyBorder="1" applyAlignment="1">
      <alignment horizontal="right" vertical="center"/>
    </xf>
    <xf numFmtId="167" fontId="15" fillId="3" borderId="6" xfId="0" applyNumberFormat="1" applyFont="1" applyFill="1" applyBorder="1" applyAlignment="1">
      <alignment horizontal="right" vertical="center"/>
    </xf>
    <xf numFmtId="167" fontId="14" fillId="0" borderId="17" xfId="0" applyNumberFormat="1" applyFont="1" applyBorder="1" applyAlignment="1">
      <alignment horizontal="right" vertical="center"/>
    </xf>
    <xf numFmtId="0" fontId="14" fillId="0" borderId="6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9" fillId="5" borderId="19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4"/>
  <sheetViews>
    <sheetView view="pageBreakPreview" zoomScale="75" zoomScaleNormal="75" zoomScaleSheetLayoutView="75" workbookViewId="0" topLeftCell="A48">
      <selection activeCell="B40" sqref="B40"/>
    </sheetView>
  </sheetViews>
  <sheetFormatPr defaultColWidth="9.00390625" defaultRowHeight="12.75"/>
  <cols>
    <col min="1" max="1" width="4.00390625" style="17" bestFit="1" customWidth="1"/>
    <col min="2" max="2" width="48.75390625" style="5" bestFit="1" customWidth="1"/>
    <col min="3" max="3" width="9.375" style="1" bestFit="1" customWidth="1"/>
    <col min="4" max="4" width="14.25390625" style="1" hidden="1" customWidth="1"/>
    <col min="5" max="14" width="14.25390625" style="1" customWidth="1"/>
    <col min="15" max="20" width="14.25390625" style="5" customWidth="1"/>
    <col min="21" max="21" width="48.875" style="5" customWidth="1"/>
    <col min="22" max="16384" width="14.25390625" style="5" customWidth="1"/>
  </cols>
  <sheetData>
    <row r="1" spans="1:14" s="29" customFormat="1" ht="18.75">
      <c r="A1" s="111" t="s">
        <v>65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s="29" customFormat="1" ht="18.75">
      <c r="A2" s="111" t="s">
        <v>64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20.25" customHeight="1">
      <c r="A3" s="105" t="s">
        <v>154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20.25" customHeight="1">
      <c r="A4" s="105" t="s">
        <v>155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ht="20.25" customHeight="1">
      <c r="A5" s="105" t="s">
        <v>156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ht="20.25" customHeight="1">
      <c r="A6" s="105" t="s">
        <v>157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</row>
    <row r="7" spans="1:14" ht="20.25" customHeight="1">
      <c r="A7" s="105" t="s">
        <v>158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ht="20.25" customHeight="1">
      <c r="A8" s="105" t="s">
        <v>159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</row>
    <row r="9" spans="1:14" ht="21" customHeight="1">
      <c r="A9" s="105" t="s">
        <v>160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</row>
    <row r="10" spans="1:14" ht="20.25" customHeight="1">
      <c r="A10" s="105" t="s">
        <v>161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</row>
    <row r="11" spans="1:14" ht="20.25" customHeight="1" thickBo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6" s="17" customFormat="1" ht="17.25" customHeight="1">
      <c r="A12" s="102"/>
      <c r="B12" s="110" t="s">
        <v>0</v>
      </c>
      <c r="C12" s="107" t="s">
        <v>63</v>
      </c>
      <c r="D12" s="117" t="s">
        <v>1</v>
      </c>
      <c r="E12" s="118"/>
      <c r="F12" s="118"/>
      <c r="G12" s="118"/>
      <c r="H12" s="118"/>
      <c r="I12" s="118"/>
      <c r="J12" s="118"/>
      <c r="K12" s="118"/>
      <c r="L12" s="118"/>
      <c r="M12" s="118"/>
      <c r="N12" s="119"/>
      <c r="P12" s="17" t="s">
        <v>162</v>
      </c>
    </row>
    <row r="13" spans="1:14" s="17" customFormat="1" ht="17.25" customHeight="1">
      <c r="A13" s="103"/>
      <c r="B13" s="101"/>
      <c r="C13" s="108"/>
      <c r="D13" s="39"/>
      <c r="E13" s="39"/>
      <c r="F13" s="39"/>
      <c r="G13" s="39"/>
      <c r="H13" s="39"/>
      <c r="I13" s="39"/>
      <c r="J13" s="39"/>
      <c r="K13" s="40"/>
      <c r="L13" s="25"/>
      <c r="M13" s="25"/>
      <c r="N13" s="25"/>
    </row>
    <row r="14" spans="1:20" s="17" customFormat="1" ht="15.75">
      <c r="A14" s="104"/>
      <c r="B14" s="109"/>
      <c r="C14" s="109"/>
      <c r="D14" s="25">
        <v>2001</v>
      </c>
      <c r="E14" s="25">
        <v>2002</v>
      </c>
      <c r="F14" s="25">
        <v>2003</v>
      </c>
      <c r="G14" s="25">
        <v>2004</v>
      </c>
      <c r="H14" s="25">
        <v>2005</v>
      </c>
      <c r="I14" s="25">
        <v>2006</v>
      </c>
      <c r="J14" s="25">
        <v>2007</v>
      </c>
      <c r="K14" s="37">
        <v>2008</v>
      </c>
      <c r="L14" s="25">
        <v>2009</v>
      </c>
      <c r="M14" s="25">
        <v>2010</v>
      </c>
      <c r="N14" s="25">
        <v>2011</v>
      </c>
      <c r="O14" s="17" t="s">
        <v>56</v>
      </c>
      <c r="P14" s="17" t="s">
        <v>149</v>
      </c>
      <c r="Q14" s="17" t="s">
        <v>150</v>
      </c>
      <c r="R14" s="17" t="s">
        <v>151</v>
      </c>
      <c r="S14" s="17" t="s">
        <v>152</v>
      </c>
      <c r="T14" s="17" t="s">
        <v>153</v>
      </c>
    </row>
    <row r="15" spans="1:14" s="17" customFormat="1" ht="15.75">
      <c r="A15" s="104"/>
      <c r="B15" s="109"/>
      <c r="C15" s="109"/>
      <c r="D15" s="25" t="s">
        <v>2</v>
      </c>
      <c r="E15" s="25" t="s">
        <v>3</v>
      </c>
      <c r="F15" s="25" t="s">
        <v>4</v>
      </c>
      <c r="G15" s="25" t="s">
        <v>5</v>
      </c>
      <c r="H15" s="25" t="s">
        <v>6</v>
      </c>
      <c r="I15" s="25" t="s">
        <v>6</v>
      </c>
      <c r="J15" s="25" t="s">
        <v>6</v>
      </c>
      <c r="K15" s="37" t="s">
        <v>6</v>
      </c>
      <c r="L15" s="25"/>
      <c r="M15" s="25"/>
      <c r="N15" s="25"/>
    </row>
    <row r="16" spans="1:40" ht="30" customHeight="1">
      <c r="A16" s="2">
        <v>1</v>
      </c>
      <c r="B16" s="41" t="s">
        <v>26</v>
      </c>
      <c r="C16" s="34" t="s">
        <v>79</v>
      </c>
      <c r="D16" s="18"/>
      <c r="E16" s="18">
        <f>SUM(E17:E21)</f>
        <v>5645578</v>
      </c>
      <c r="F16" s="18">
        <f aca="true" t="shared" si="0" ref="F16:N16">SUM(F17:F21)</f>
        <v>6689100</v>
      </c>
      <c r="G16" s="18">
        <f t="shared" si="0"/>
        <v>4950000</v>
      </c>
      <c r="H16" s="18">
        <f t="shared" si="0"/>
        <v>4700000</v>
      </c>
      <c r="I16" s="18">
        <f t="shared" si="0"/>
        <v>4700000</v>
      </c>
      <c r="J16" s="18">
        <f t="shared" si="0"/>
        <v>3700000</v>
      </c>
      <c r="K16" s="38">
        <f t="shared" si="0"/>
        <v>3800000</v>
      </c>
      <c r="L16" s="38">
        <f t="shared" si="0"/>
        <v>4100000</v>
      </c>
      <c r="M16" s="38">
        <f t="shared" si="0"/>
        <v>4150000</v>
      </c>
      <c r="N16" s="18">
        <f t="shared" si="0"/>
        <v>4400000</v>
      </c>
      <c r="O16" s="4">
        <f>H16/G16*100</f>
        <v>94.94949494949495</v>
      </c>
      <c r="P16" s="4">
        <f>I16/H16*100</f>
        <v>100</v>
      </c>
      <c r="Q16" s="4">
        <f aca="true" t="shared" si="1" ref="Q16:T31">J16/I16*100</f>
        <v>78.72340425531915</v>
      </c>
      <c r="R16" s="4">
        <f t="shared" si="1"/>
        <v>102.7027027027027</v>
      </c>
      <c r="S16" s="4">
        <f t="shared" si="1"/>
        <v>107.89473684210526</v>
      </c>
      <c r="T16" s="4">
        <f t="shared" si="1"/>
        <v>101.21951219512195</v>
      </c>
      <c r="U16" s="41" t="s">
        <v>26</v>
      </c>
      <c r="V16" s="4">
        <f aca="true" t="shared" si="2" ref="V16:AN16">O16/N16*100</f>
        <v>0.0021579430670339763</v>
      </c>
      <c r="W16" s="4">
        <f t="shared" si="2"/>
        <v>105.31914893617021</v>
      </c>
      <c r="X16" s="4">
        <f t="shared" si="2"/>
        <v>78.72340425531915</v>
      </c>
      <c r="Y16" s="4">
        <f t="shared" si="2"/>
        <v>130.46018991964937</v>
      </c>
      <c r="Z16" s="4">
        <f t="shared" si="2"/>
        <v>105.05540166204987</v>
      </c>
      <c r="AA16" s="4">
        <f t="shared" si="2"/>
        <v>93.81320642474718</v>
      </c>
      <c r="AB16" s="4" t="e">
        <f t="shared" si="2"/>
        <v>#VALUE!</v>
      </c>
      <c r="AC16" s="4" t="e">
        <f t="shared" si="2"/>
        <v>#VALUE!</v>
      </c>
      <c r="AD16" s="4">
        <f t="shared" si="2"/>
        <v>4880534.178361248</v>
      </c>
      <c r="AE16" s="4">
        <f t="shared" si="2"/>
        <v>74.74747474747475</v>
      </c>
      <c r="AF16" s="4">
        <f t="shared" si="2"/>
        <v>165.71970070874377</v>
      </c>
      <c r="AG16" s="4">
        <f t="shared" si="2"/>
        <v>80.52678884397889</v>
      </c>
      <c r="AH16" s="4">
        <f t="shared" si="2"/>
        <v>89.29879372269934</v>
      </c>
      <c r="AI16" s="4" t="e">
        <f t="shared" si="2"/>
        <v>#VALUE!</v>
      </c>
      <c r="AJ16" s="4" t="e">
        <f t="shared" si="2"/>
        <v>#VALUE!</v>
      </c>
      <c r="AK16" s="4" t="e">
        <f t="shared" si="2"/>
        <v>#VALUE!</v>
      </c>
      <c r="AL16" s="4">
        <f t="shared" si="2"/>
        <v>0.0015315429011619572</v>
      </c>
      <c r="AM16" s="4">
        <f t="shared" si="2"/>
        <v>221.70608608331938</v>
      </c>
      <c r="AN16" s="4">
        <f t="shared" si="2"/>
        <v>48.59216405749284</v>
      </c>
    </row>
    <row r="17" spans="1:21" ht="19.5" customHeight="1">
      <c r="A17" s="2"/>
      <c r="B17" s="42" t="s">
        <v>7</v>
      </c>
      <c r="C17" s="34" t="s">
        <v>12</v>
      </c>
      <c r="D17" s="18"/>
      <c r="E17" s="18"/>
      <c r="F17" s="18"/>
      <c r="G17" s="18"/>
      <c r="H17" s="18"/>
      <c r="I17" s="18"/>
      <c r="J17" s="18"/>
      <c r="K17" s="38"/>
      <c r="L17" s="18"/>
      <c r="M17" s="18"/>
      <c r="N17" s="18"/>
      <c r="O17" s="4"/>
      <c r="P17" s="4"/>
      <c r="Q17" s="4"/>
      <c r="R17" s="4"/>
      <c r="S17" s="4"/>
      <c r="T17" s="4"/>
      <c r="U17" s="42" t="s">
        <v>7</v>
      </c>
    </row>
    <row r="18" spans="1:21" ht="19.5" customHeight="1">
      <c r="A18" s="2"/>
      <c r="B18" s="42" t="s">
        <v>8</v>
      </c>
      <c r="C18" s="34" t="s">
        <v>24</v>
      </c>
      <c r="D18" s="18"/>
      <c r="E18" s="18"/>
      <c r="F18" s="18"/>
      <c r="G18" s="18"/>
      <c r="H18" s="18"/>
      <c r="I18" s="18"/>
      <c r="J18" s="18"/>
      <c r="K18" s="38"/>
      <c r="L18" s="18"/>
      <c r="M18" s="18"/>
      <c r="N18" s="18"/>
      <c r="O18" s="4"/>
      <c r="P18" s="4"/>
      <c r="Q18" s="4"/>
      <c r="R18" s="4"/>
      <c r="S18" s="4"/>
      <c r="T18" s="4"/>
      <c r="U18" s="42" t="s">
        <v>8</v>
      </c>
    </row>
    <row r="19" spans="1:21" ht="19.5" customHeight="1">
      <c r="A19" s="2"/>
      <c r="B19" s="42" t="s">
        <v>9</v>
      </c>
      <c r="C19" s="34" t="s">
        <v>27</v>
      </c>
      <c r="D19" s="18"/>
      <c r="E19" s="18"/>
      <c r="F19" s="18"/>
      <c r="G19" s="18"/>
      <c r="H19" s="18"/>
      <c r="I19" s="18"/>
      <c r="J19" s="18"/>
      <c r="K19" s="38"/>
      <c r="L19" s="18"/>
      <c r="M19" s="18"/>
      <c r="N19" s="18"/>
      <c r="O19" s="4"/>
      <c r="P19" s="4"/>
      <c r="Q19" s="4"/>
      <c r="R19" s="4"/>
      <c r="S19" s="4"/>
      <c r="T19" s="4"/>
      <c r="U19" s="42" t="s">
        <v>9</v>
      </c>
    </row>
    <row r="20" spans="1:21" ht="19.5" customHeight="1">
      <c r="A20" s="2"/>
      <c r="B20" s="42" t="s">
        <v>10</v>
      </c>
      <c r="C20" s="34" t="s">
        <v>31</v>
      </c>
      <c r="D20" s="18"/>
      <c r="E20" s="18">
        <v>2800000</v>
      </c>
      <c r="F20" s="18">
        <v>2800000</v>
      </c>
      <c r="G20" s="18">
        <v>1500000</v>
      </c>
      <c r="H20" s="18">
        <v>1500000</v>
      </c>
      <c r="I20" s="18">
        <v>1500000</v>
      </c>
      <c r="J20" s="18">
        <v>1000000</v>
      </c>
      <c r="K20" s="38">
        <v>1100000</v>
      </c>
      <c r="L20" s="18">
        <v>1300000</v>
      </c>
      <c r="M20" s="18">
        <v>1300000</v>
      </c>
      <c r="N20" s="18">
        <v>1350000</v>
      </c>
      <c r="O20" s="4">
        <f aca="true" t="shared" si="3" ref="O20:O61">H20/G20*100</f>
        <v>100</v>
      </c>
      <c r="P20" s="4">
        <f aca="true" t="shared" si="4" ref="P20:P61">I20/H20*100</f>
        <v>100</v>
      </c>
      <c r="Q20" s="4">
        <f t="shared" si="1"/>
        <v>66.66666666666666</v>
      </c>
      <c r="R20" s="4">
        <f t="shared" si="1"/>
        <v>110.00000000000001</v>
      </c>
      <c r="S20" s="4">
        <f t="shared" si="1"/>
        <v>118.18181818181819</v>
      </c>
      <c r="T20" s="4">
        <f t="shared" si="1"/>
        <v>100</v>
      </c>
      <c r="U20" s="42" t="s">
        <v>10</v>
      </c>
    </row>
    <row r="21" spans="1:21" ht="19.5" customHeight="1">
      <c r="A21" s="2"/>
      <c r="B21" s="42" t="s">
        <v>11</v>
      </c>
      <c r="C21" s="34" t="s">
        <v>32</v>
      </c>
      <c r="D21" s="18"/>
      <c r="E21" s="18">
        <v>2845578</v>
      </c>
      <c r="F21" s="18">
        <f>1115000+80000+184100+1810000+700000</f>
        <v>3889100</v>
      </c>
      <c r="G21" s="18">
        <v>3450000</v>
      </c>
      <c r="H21" s="18">
        <v>3200000</v>
      </c>
      <c r="I21" s="18">
        <v>3200000</v>
      </c>
      <c r="J21" s="18">
        <v>2700000</v>
      </c>
      <c r="K21" s="38">
        <v>2700000</v>
      </c>
      <c r="L21" s="18">
        <v>2800000</v>
      </c>
      <c r="M21" s="18">
        <v>2850000</v>
      </c>
      <c r="N21" s="18">
        <v>3050000</v>
      </c>
      <c r="O21" s="4">
        <f t="shared" si="3"/>
        <v>92.7536231884058</v>
      </c>
      <c r="P21" s="4">
        <f t="shared" si="4"/>
        <v>100</v>
      </c>
      <c r="Q21" s="4">
        <f t="shared" si="1"/>
        <v>84.375</v>
      </c>
      <c r="R21" s="4">
        <f t="shared" si="1"/>
        <v>100</v>
      </c>
      <c r="S21" s="4">
        <f t="shared" si="1"/>
        <v>103.7037037037037</v>
      </c>
      <c r="T21" s="4">
        <f t="shared" si="1"/>
        <v>101.78571428571428</v>
      </c>
      <c r="U21" s="42" t="s">
        <v>11</v>
      </c>
    </row>
    <row r="22" spans="1:21" ht="38.25">
      <c r="A22" s="2" t="s">
        <v>12</v>
      </c>
      <c r="B22" s="41" t="s">
        <v>66</v>
      </c>
      <c r="C22" s="34" t="s">
        <v>37</v>
      </c>
      <c r="D22" s="18"/>
      <c r="E22" s="18">
        <f>SUM(E23:E24)</f>
        <v>18242427</v>
      </c>
      <c r="F22" s="18">
        <f aca="true" t="shared" si="5" ref="F22:N22">SUM(F23:F24)</f>
        <v>19649528</v>
      </c>
      <c r="G22" s="18">
        <f t="shared" si="5"/>
        <v>22200000</v>
      </c>
      <c r="H22" s="18">
        <f t="shared" si="5"/>
        <v>23100000</v>
      </c>
      <c r="I22" s="18">
        <f t="shared" si="5"/>
        <v>24000000</v>
      </c>
      <c r="J22" s="18">
        <f t="shared" si="5"/>
        <v>25000000</v>
      </c>
      <c r="K22" s="38">
        <f t="shared" si="5"/>
        <v>25700000</v>
      </c>
      <c r="L22" s="38">
        <f t="shared" si="5"/>
        <v>26400000</v>
      </c>
      <c r="M22" s="38">
        <f t="shared" si="5"/>
        <v>27100000</v>
      </c>
      <c r="N22" s="18">
        <f t="shared" si="5"/>
        <v>27750000</v>
      </c>
      <c r="O22" s="4">
        <f t="shared" si="3"/>
        <v>104.05405405405406</v>
      </c>
      <c r="P22" s="4">
        <f t="shared" si="4"/>
        <v>103.89610389610388</v>
      </c>
      <c r="Q22" s="4">
        <f t="shared" si="1"/>
        <v>104.16666666666667</v>
      </c>
      <c r="R22" s="4">
        <f t="shared" si="1"/>
        <v>102.8</v>
      </c>
      <c r="S22" s="4">
        <f t="shared" si="1"/>
        <v>102.7237354085603</v>
      </c>
      <c r="T22" s="4">
        <f t="shared" si="1"/>
        <v>102.65151515151516</v>
      </c>
      <c r="U22" s="41" t="s">
        <v>66</v>
      </c>
    </row>
    <row r="23" spans="1:21" ht="38.25">
      <c r="A23" s="2"/>
      <c r="B23" s="41" t="s">
        <v>67</v>
      </c>
      <c r="C23" s="34" t="s">
        <v>39</v>
      </c>
      <c r="D23" s="18"/>
      <c r="E23" s="18">
        <v>2000000</v>
      </c>
      <c r="F23" s="18">
        <v>2500000</v>
      </c>
      <c r="G23" s="18">
        <v>3000000</v>
      </c>
      <c r="H23" s="18">
        <v>3600000</v>
      </c>
      <c r="I23" s="18">
        <v>4000000</v>
      </c>
      <c r="J23" s="18">
        <v>4500000</v>
      </c>
      <c r="K23" s="38">
        <v>4700000</v>
      </c>
      <c r="L23" s="18">
        <v>4900000</v>
      </c>
      <c r="M23" s="18">
        <v>5100000</v>
      </c>
      <c r="N23" s="18">
        <v>5250000</v>
      </c>
      <c r="O23" s="4">
        <f t="shared" si="3"/>
        <v>120</v>
      </c>
      <c r="P23" s="4">
        <f t="shared" si="4"/>
        <v>111.11111111111111</v>
      </c>
      <c r="Q23" s="4">
        <f t="shared" si="1"/>
        <v>112.5</v>
      </c>
      <c r="R23" s="4">
        <f t="shared" si="1"/>
        <v>104.44444444444446</v>
      </c>
      <c r="S23" s="4">
        <f t="shared" si="1"/>
        <v>104.25531914893618</v>
      </c>
      <c r="T23" s="4">
        <f t="shared" si="1"/>
        <v>104.08163265306123</v>
      </c>
      <c r="U23" s="41" t="s">
        <v>67</v>
      </c>
    </row>
    <row r="24" spans="1:21" ht="19.5" customHeight="1">
      <c r="A24" s="2"/>
      <c r="B24" s="42" t="s">
        <v>13</v>
      </c>
      <c r="C24" s="34" t="s">
        <v>44</v>
      </c>
      <c r="D24" s="18"/>
      <c r="E24" s="18">
        <v>16242427</v>
      </c>
      <c r="F24" s="18">
        <v>17149528</v>
      </c>
      <c r="G24" s="18">
        <v>19200000</v>
      </c>
      <c r="H24" s="18">
        <v>19500000</v>
      </c>
      <c r="I24" s="18">
        <v>20000000</v>
      </c>
      <c r="J24" s="18">
        <v>20500000</v>
      </c>
      <c r="K24" s="38">
        <v>21000000</v>
      </c>
      <c r="L24" s="18">
        <v>21500000</v>
      </c>
      <c r="M24" s="18">
        <v>22000000</v>
      </c>
      <c r="N24" s="18">
        <v>22500000</v>
      </c>
      <c r="O24" s="4">
        <f t="shared" si="3"/>
        <v>101.5625</v>
      </c>
      <c r="P24" s="4">
        <f t="shared" si="4"/>
        <v>102.56410256410255</v>
      </c>
      <c r="Q24" s="4">
        <f t="shared" si="1"/>
        <v>102.49999999999999</v>
      </c>
      <c r="R24" s="4">
        <f t="shared" si="1"/>
        <v>102.4390243902439</v>
      </c>
      <c r="S24" s="4">
        <f t="shared" si="1"/>
        <v>102.38095238095238</v>
      </c>
      <c r="T24" s="4">
        <f t="shared" si="1"/>
        <v>102.32558139534885</v>
      </c>
      <c r="U24" s="42" t="s">
        <v>13</v>
      </c>
    </row>
    <row r="25" spans="1:21" ht="19.5" customHeight="1">
      <c r="A25" s="2" t="s">
        <v>24</v>
      </c>
      <c r="B25" s="42" t="s">
        <v>25</v>
      </c>
      <c r="C25" s="34" t="s">
        <v>14</v>
      </c>
      <c r="D25" s="18"/>
      <c r="E25" s="18">
        <f>SUM(E16,E22)</f>
        <v>23888005</v>
      </c>
      <c r="F25" s="18">
        <f aca="true" t="shared" si="6" ref="F25:N25">SUM(F16,F22)</f>
        <v>26338628</v>
      </c>
      <c r="G25" s="18">
        <f t="shared" si="6"/>
        <v>27150000</v>
      </c>
      <c r="H25" s="18">
        <f t="shared" si="6"/>
        <v>27800000</v>
      </c>
      <c r="I25" s="18">
        <f t="shared" si="6"/>
        <v>28700000</v>
      </c>
      <c r="J25" s="18">
        <f t="shared" si="6"/>
        <v>28700000</v>
      </c>
      <c r="K25" s="38">
        <f t="shared" si="6"/>
        <v>29500000</v>
      </c>
      <c r="L25" s="38">
        <f t="shared" si="6"/>
        <v>30500000</v>
      </c>
      <c r="M25" s="38">
        <f t="shared" si="6"/>
        <v>31250000</v>
      </c>
      <c r="N25" s="18">
        <f t="shared" si="6"/>
        <v>32150000</v>
      </c>
      <c r="O25" s="4">
        <f t="shared" si="3"/>
        <v>102.39410681399632</v>
      </c>
      <c r="P25" s="4">
        <f t="shared" si="4"/>
        <v>103.23741007194245</v>
      </c>
      <c r="Q25" s="4">
        <f t="shared" si="1"/>
        <v>100</v>
      </c>
      <c r="R25" s="4">
        <f t="shared" si="1"/>
        <v>102.78745644599303</v>
      </c>
      <c r="S25" s="4">
        <f t="shared" si="1"/>
        <v>103.38983050847457</v>
      </c>
      <c r="T25" s="4">
        <f t="shared" si="1"/>
        <v>102.45901639344261</v>
      </c>
      <c r="U25" s="42" t="s">
        <v>25</v>
      </c>
    </row>
    <row r="26" spans="1:21" ht="19.5" customHeight="1">
      <c r="A26" s="2" t="s">
        <v>27</v>
      </c>
      <c r="B26" s="42" t="s">
        <v>28</v>
      </c>
      <c r="C26" s="34" t="s">
        <v>15</v>
      </c>
      <c r="D26" s="18"/>
      <c r="E26" s="18">
        <f>SUM(E27:E29)</f>
        <v>98680696</v>
      </c>
      <c r="F26" s="18">
        <f aca="true" t="shared" si="7" ref="F26:N26">SUM(F27:F29)</f>
        <v>95842273</v>
      </c>
      <c r="G26" s="18">
        <f t="shared" si="7"/>
        <v>113300000</v>
      </c>
      <c r="H26" s="18">
        <f t="shared" si="7"/>
        <v>115900000</v>
      </c>
      <c r="I26" s="18">
        <f t="shared" si="7"/>
        <v>118565000</v>
      </c>
      <c r="J26" s="18">
        <f t="shared" si="7"/>
        <v>120936000</v>
      </c>
      <c r="K26" s="38">
        <f t="shared" si="7"/>
        <v>124400000</v>
      </c>
      <c r="L26" s="38">
        <f t="shared" si="7"/>
        <v>127700000</v>
      </c>
      <c r="M26" s="38">
        <f t="shared" si="7"/>
        <v>130650000</v>
      </c>
      <c r="N26" s="18">
        <f t="shared" si="7"/>
        <v>133136000</v>
      </c>
      <c r="O26" s="4">
        <f t="shared" si="3"/>
        <v>102.29479258605471</v>
      </c>
      <c r="P26" s="4">
        <f t="shared" si="4"/>
        <v>102.29939603106126</v>
      </c>
      <c r="Q26" s="4">
        <f t="shared" si="1"/>
        <v>101.99974697423355</v>
      </c>
      <c r="R26" s="4">
        <f t="shared" si="1"/>
        <v>102.86432493219554</v>
      </c>
      <c r="S26" s="4">
        <f t="shared" si="1"/>
        <v>102.65273311897106</v>
      </c>
      <c r="T26" s="4">
        <f t="shared" si="1"/>
        <v>102.31010180109632</v>
      </c>
      <c r="U26" s="42" t="s">
        <v>28</v>
      </c>
    </row>
    <row r="27" spans="1:21" ht="19.5" customHeight="1">
      <c r="A27" s="2"/>
      <c r="B27" s="42" t="s">
        <v>29</v>
      </c>
      <c r="C27" s="34" t="s">
        <v>16</v>
      </c>
      <c r="D27" s="18"/>
      <c r="E27" s="18">
        <v>45813258</v>
      </c>
      <c r="F27" s="18">
        <v>43748059</v>
      </c>
      <c r="G27" s="18">
        <v>52000000</v>
      </c>
      <c r="H27" s="18">
        <v>53000000</v>
      </c>
      <c r="I27" s="18">
        <v>54000000</v>
      </c>
      <c r="J27" s="18">
        <v>55500000</v>
      </c>
      <c r="K27" s="38">
        <v>56800000</v>
      </c>
      <c r="L27" s="18">
        <v>58100000</v>
      </c>
      <c r="M27" s="18">
        <v>59600000</v>
      </c>
      <c r="N27" s="18">
        <v>61000000</v>
      </c>
      <c r="O27" s="4">
        <f t="shared" si="3"/>
        <v>101.92307692307692</v>
      </c>
      <c r="P27" s="4">
        <f t="shared" si="4"/>
        <v>101.88679245283019</v>
      </c>
      <c r="Q27" s="4">
        <f t="shared" si="1"/>
        <v>102.77777777777777</v>
      </c>
      <c r="R27" s="4">
        <f t="shared" si="1"/>
        <v>102.34234234234233</v>
      </c>
      <c r="S27" s="4">
        <f t="shared" si="1"/>
        <v>102.2887323943662</v>
      </c>
      <c r="T27" s="4">
        <f t="shared" si="1"/>
        <v>102.58175559380378</v>
      </c>
      <c r="U27" s="42" t="s">
        <v>29</v>
      </c>
    </row>
    <row r="28" spans="1:21" ht="19.5" customHeight="1">
      <c r="A28" s="2"/>
      <c r="B28" s="42" t="s">
        <v>106</v>
      </c>
      <c r="C28" s="34" t="s">
        <v>17</v>
      </c>
      <c r="D28" s="18"/>
      <c r="E28" s="18">
        <v>30906256</v>
      </c>
      <c r="F28" s="18">
        <v>29103147</v>
      </c>
      <c r="G28" s="18">
        <v>36400000</v>
      </c>
      <c r="H28" s="18">
        <v>37400000</v>
      </c>
      <c r="I28" s="18">
        <v>38565000</v>
      </c>
      <c r="J28" s="18">
        <v>39200000</v>
      </c>
      <c r="K28" s="38">
        <v>40100000</v>
      </c>
      <c r="L28" s="18">
        <v>41100000</v>
      </c>
      <c r="M28" s="18">
        <v>42200000</v>
      </c>
      <c r="N28" s="18">
        <v>43000000</v>
      </c>
      <c r="O28" s="4">
        <f t="shared" si="3"/>
        <v>102.74725274725273</v>
      </c>
      <c r="P28" s="4">
        <f t="shared" si="4"/>
        <v>103.1149732620321</v>
      </c>
      <c r="Q28" s="4">
        <f t="shared" si="1"/>
        <v>101.64657072475043</v>
      </c>
      <c r="R28" s="4">
        <f t="shared" si="1"/>
        <v>102.29591836734696</v>
      </c>
      <c r="S28" s="4">
        <f t="shared" si="1"/>
        <v>102.49376558603491</v>
      </c>
      <c r="T28" s="4">
        <f t="shared" si="1"/>
        <v>102.676399026764</v>
      </c>
      <c r="U28" s="42" t="s">
        <v>106</v>
      </c>
    </row>
    <row r="29" spans="1:21" ht="19.5" customHeight="1">
      <c r="A29" s="2"/>
      <c r="B29" s="42" t="s">
        <v>30</v>
      </c>
      <c r="C29" s="34" t="s">
        <v>18</v>
      </c>
      <c r="D29" s="18"/>
      <c r="E29" s="18">
        <v>21961182</v>
      </c>
      <c r="F29" s="18">
        <v>22991067</v>
      </c>
      <c r="G29" s="18">
        <v>24900000</v>
      </c>
      <c r="H29" s="18">
        <v>25500000</v>
      </c>
      <c r="I29" s="18">
        <v>26000000</v>
      </c>
      <c r="J29" s="18">
        <v>26236000</v>
      </c>
      <c r="K29" s="38">
        <v>27500000</v>
      </c>
      <c r="L29" s="18">
        <v>28500000</v>
      </c>
      <c r="M29" s="18">
        <v>28850000</v>
      </c>
      <c r="N29" s="18">
        <v>29136000</v>
      </c>
      <c r="O29" s="4">
        <f t="shared" si="3"/>
        <v>102.40963855421687</v>
      </c>
      <c r="P29" s="4">
        <f t="shared" si="4"/>
        <v>101.96078431372548</v>
      </c>
      <c r="Q29" s="4">
        <f t="shared" si="1"/>
        <v>100.9076923076923</v>
      </c>
      <c r="R29" s="4">
        <f t="shared" si="1"/>
        <v>104.81780759262082</v>
      </c>
      <c r="S29" s="4">
        <f t="shared" si="1"/>
        <v>103.63636363636364</v>
      </c>
      <c r="T29" s="4">
        <f t="shared" si="1"/>
        <v>101.2280701754386</v>
      </c>
      <c r="U29" s="42" t="s">
        <v>30</v>
      </c>
    </row>
    <row r="30" spans="1:21" ht="19.5" customHeight="1">
      <c r="A30" s="2" t="s">
        <v>31</v>
      </c>
      <c r="B30" s="42" t="s">
        <v>33</v>
      </c>
      <c r="C30" s="34" t="s">
        <v>19</v>
      </c>
      <c r="D30" s="18"/>
      <c r="E30" s="18">
        <f>SUM(E25:E26)</f>
        <v>122568701</v>
      </c>
      <c r="F30" s="18">
        <f aca="true" t="shared" si="8" ref="F30:N30">SUM(F25:F26)</f>
        <v>122180901</v>
      </c>
      <c r="G30" s="18">
        <f t="shared" si="8"/>
        <v>140450000</v>
      </c>
      <c r="H30" s="18">
        <f t="shared" si="8"/>
        <v>143700000</v>
      </c>
      <c r="I30" s="18">
        <f t="shared" si="8"/>
        <v>147265000</v>
      </c>
      <c r="J30" s="18">
        <f t="shared" si="8"/>
        <v>149636000</v>
      </c>
      <c r="K30" s="38">
        <f t="shared" si="8"/>
        <v>153900000</v>
      </c>
      <c r="L30" s="38">
        <f t="shared" si="8"/>
        <v>158200000</v>
      </c>
      <c r="M30" s="38">
        <f t="shared" si="8"/>
        <v>161900000</v>
      </c>
      <c r="N30" s="18">
        <f t="shared" si="8"/>
        <v>165286000</v>
      </c>
      <c r="O30" s="4">
        <f t="shared" si="3"/>
        <v>102.31399074403701</v>
      </c>
      <c r="P30" s="4">
        <f t="shared" si="4"/>
        <v>102.48086290883786</v>
      </c>
      <c r="Q30" s="4">
        <f t="shared" si="1"/>
        <v>101.61002274810716</v>
      </c>
      <c r="R30" s="4">
        <f t="shared" si="1"/>
        <v>102.84958165147424</v>
      </c>
      <c r="S30" s="4">
        <f t="shared" si="1"/>
        <v>102.79402209226771</v>
      </c>
      <c r="T30" s="4">
        <f t="shared" si="1"/>
        <v>102.33881163084703</v>
      </c>
      <c r="U30" s="42" t="s">
        <v>33</v>
      </c>
    </row>
    <row r="31" spans="1:21" ht="19.5" customHeight="1">
      <c r="A31" s="2" t="s">
        <v>32</v>
      </c>
      <c r="B31" s="42" t="s">
        <v>34</v>
      </c>
      <c r="C31" s="34" t="s">
        <v>20</v>
      </c>
      <c r="D31" s="18"/>
      <c r="E31" s="18">
        <f>SUM(E32:E35)</f>
        <v>133492263</v>
      </c>
      <c r="F31" s="18">
        <f aca="true" t="shared" si="9" ref="F31:N31">SUM(F32:F35)</f>
        <v>144672500</v>
      </c>
      <c r="G31" s="18">
        <f t="shared" si="9"/>
        <v>151850000</v>
      </c>
      <c r="H31" s="18">
        <f t="shared" si="9"/>
        <v>162200000</v>
      </c>
      <c r="I31" s="18">
        <f t="shared" si="9"/>
        <v>169600000</v>
      </c>
      <c r="J31" s="18">
        <f t="shared" si="9"/>
        <v>175000000</v>
      </c>
      <c r="K31" s="38">
        <f t="shared" si="9"/>
        <v>178500000</v>
      </c>
      <c r="L31" s="38">
        <f t="shared" si="9"/>
        <v>181800000</v>
      </c>
      <c r="M31" s="38">
        <f t="shared" si="9"/>
        <v>186260000</v>
      </c>
      <c r="N31" s="18">
        <f t="shared" si="9"/>
        <v>190850000</v>
      </c>
      <c r="O31" s="4">
        <f t="shared" si="3"/>
        <v>106.81593677971684</v>
      </c>
      <c r="P31" s="4">
        <f t="shared" si="4"/>
        <v>104.56226880394574</v>
      </c>
      <c r="Q31" s="4">
        <f t="shared" si="1"/>
        <v>103.18396226415094</v>
      </c>
      <c r="R31" s="4">
        <f t="shared" si="1"/>
        <v>102</v>
      </c>
      <c r="S31" s="4">
        <f t="shared" si="1"/>
        <v>101.84873949579831</v>
      </c>
      <c r="T31" s="4">
        <f t="shared" si="1"/>
        <v>102.45324532453246</v>
      </c>
      <c r="U31" s="42" t="s">
        <v>34</v>
      </c>
    </row>
    <row r="32" spans="1:21" ht="15.75">
      <c r="A32" s="2"/>
      <c r="B32" s="41" t="s">
        <v>57</v>
      </c>
      <c r="C32" s="34" t="s">
        <v>21</v>
      </c>
      <c r="D32" s="18"/>
      <c r="E32" s="18">
        <v>74291614</v>
      </c>
      <c r="F32" s="18">
        <f>42519000+6700000+47250000</f>
        <v>96469000</v>
      </c>
      <c r="G32" s="18">
        <v>82000000</v>
      </c>
      <c r="H32" s="18">
        <v>84900000</v>
      </c>
      <c r="I32" s="18">
        <v>85000000</v>
      </c>
      <c r="J32" s="18">
        <v>85200000</v>
      </c>
      <c r="K32" s="38">
        <v>85500000</v>
      </c>
      <c r="L32" s="18">
        <v>87500000</v>
      </c>
      <c r="M32" s="18">
        <v>89600000</v>
      </c>
      <c r="N32" s="18">
        <v>91700000</v>
      </c>
      <c r="O32" s="4">
        <f t="shared" si="3"/>
        <v>103.53658536585367</v>
      </c>
      <c r="P32" s="4">
        <f t="shared" si="4"/>
        <v>100.11778563015312</v>
      </c>
      <c r="Q32" s="4">
        <f aca="true" t="shared" si="10" ref="Q32:Q61">J32/I32*100</f>
        <v>100.23529411764707</v>
      </c>
      <c r="R32" s="4">
        <f aca="true" t="shared" si="11" ref="R32:R61">K32/J32*100</f>
        <v>100.35211267605635</v>
      </c>
      <c r="S32" s="4">
        <f aca="true" t="shared" si="12" ref="S32:S61">L32/K32*100</f>
        <v>102.3391812865497</v>
      </c>
      <c r="T32" s="4">
        <f aca="true" t="shared" si="13" ref="T32:T61">M32/L32*100</f>
        <v>102.4</v>
      </c>
      <c r="U32" s="41" t="s">
        <v>57</v>
      </c>
    </row>
    <row r="33" spans="1:21" ht="19.5" customHeight="1">
      <c r="A33" s="2"/>
      <c r="B33" s="42" t="s">
        <v>35</v>
      </c>
      <c r="C33" s="34" t="s">
        <v>22</v>
      </c>
      <c r="D33" s="18"/>
      <c r="E33" s="18">
        <v>52405818</v>
      </c>
      <c r="F33" s="18">
        <f>36927000+10568000</f>
        <v>47495000</v>
      </c>
      <c r="G33" s="18">
        <v>62550000</v>
      </c>
      <c r="H33" s="18">
        <v>68200000</v>
      </c>
      <c r="I33" s="18">
        <v>74800000</v>
      </c>
      <c r="J33" s="18">
        <v>79600000</v>
      </c>
      <c r="K33" s="38">
        <v>82500000</v>
      </c>
      <c r="L33" s="18">
        <v>83520000</v>
      </c>
      <c r="M33" s="18">
        <v>85600000</v>
      </c>
      <c r="N33" s="18">
        <v>87800000</v>
      </c>
      <c r="O33" s="4">
        <f t="shared" si="3"/>
        <v>109.03277378097522</v>
      </c>
      <c r="P33" s="4">
        <f t="shared" si="4"/>
        <v>109.6774193548387</v>
      </c>
      <c r="Q33" s="4">
        <f t="shared" si="10"/>
        <v>106.41711229946524</v>
      </c>
      <c r="R33" s="4">
        <f t="shared" si="11"/>
        <v>103.64321608040201</v>
      </c>
      <c r="S33" s="4">
        <f t="shared" si="12"/>
        <v>101.23636363636363</v>
      </c>
      <c r="T33" s="4">
        <f t="shared" si="13"/>
        <v>102.4904214559387</v>
      </c>
      <c r="U33" s="42" t="s">
        <v>35</v>
      </c>
    </row>
    <row r="34" spans="1:21" ht="51">
      <c r="A34" s="2"/>
      <c r="B34" s="41" t="s">
        <v>58</v>
      </c>
      <c r="C34" s="34" t="s">
        <v>23</v>
      </c>
      <c r="D34" s="18"/>
      <c r="E34" s="18">
        <v>2679668</v>
      </c>
      <c r="F34" s="18">
        <v>0</v>
      </c>
      <c r="G34" s="18">
        <v>2200000</v>
      </c>
      <c r="H34" s="18">
        <v>2600000</v>
      </c>
      <c r="I34" s="18">
        <v>2800000</v>
      </c>
      <c r="J34" s="18">
        <v>3000000</v>
      </c>
      <c r="K34" s="38">
        <v>3200000</v>
      </c>
      <c r="L34" s="18">
        <v>3280000</v>
      </c>
      <c r="M34" s="18">
        <v>3360000</v>
      </c>
      <c r="N34" s="18">
        <v>3450000</v>
      </c>
      <c r="O34" s="4">
        <f t="shared" si="3"/>
        <v>118.18181818181819</v>
      </c>
      <c r="P34" s="4">
        <f t="shared" si="4"/>
        <v>107.6923076923077</v>
      </c>
      <c r="Q34" s="4">
        <f t="shared" si="10"/>
        <v>107.14285714285714</v>
      </c>
      <c r="R34" s="4">
        <f t="shared" si="11"/>
        <v>106.66666666666667</v>
      </c>
      <c r="S34" s="4">
        <f t="shared" si="12"/>
        <v>102.49999999999999</v>
      </c>
      <c r="T34" s="4">
        <f t="shared" si="13"/>
        <v>102.4390243902439</v>
      </c>
      <c r="U34" s="41" t="s">
        <v>58</v>
      </c>
    </row>
    <row r="35" spans="1:21" ht="19.5" customHeight="1">
      <c r="A35" s="2"/>
      <c r="B35" s="42" t="s">
        <v>36</v>
      </c>
      <c r="C35" s="34" t="s">
        <v>80</v>
      </c>
      <c r="D35" s="18"/>
      <c r="E35" s="18">
        <v>4115163</v>
      </c>
      <c r="F35" s="18">
        <f>568500+140000</f>
        <v>708500</v>
      </c>
      <c r="G35" s="18">
        <v>5100000</v>
      </c>
      <c r="H35" s="18">
        <v>6500000</v>
      </c>
      <c r="I35" s="18">
        <v>7000000</v>
      </c>
      <c r="J35" s="18">
        <v>7200000</v>
      </c>
      <c r="K35" s="38">
        <v>7300000</v>
      </c>
      <c r="L35" s="18">
        <v>7500000</v>
      </c>
      <c r="M35" s="18">
        <v>7700000</v>
      </c>
      <c r="N35" s="18">
        <v>7900000</v>
      </c>
      <c r="O35" s="4">
        <f t="shared" si="3"/>
        <v>127.45098039215685</v>
      </c>
      <c r="P35" s="4">
        <f t="shared" si="4"/>
        <v>107.6923076923077</v>
      </c>
      <c r="Q35" s="4">
        <f t="shared" si="10"/>
        <v>102.85714285714285</v>
      </c>
      <c r="R35" s="4">
        <f t="shared" si="11"/>
        <v>101.38888888888889</v>
      </c>
      <c r="S35" s="4">
        <f t="shared" si="12"/>
        <v>102.73972602739727</v>
      </c>
      <c r="T35" s="4">
        <f t="shared" si="13"/>
        <v>102.66666666666666</v>
      </c>
      <c r="U35" s="42" t="s">
        <v>36</v>
      </c>
    </row>
    <row r="36" spans="1:21" s="8" customFormat="1" ht="19.5" customHeight="1" thickBot="1">
      <c r="A36" s="44" t="s">
        <v>37</v>
      </c>
      <c r="B36" s="45" t="s">
        <v>38</v>
      </c>
      <c r="C36" s="46" t="s">
        <v>81</v>
      </c>
      <c r="D36" s="47"/>
      <c r="E36" s="47">
        <f>SUM(E30:E31)</f>
        <v>256060964</v>
      </c>
      <c r="F36" s="47">
        <f aca="true" t="shared" si="14" ref="F36:N36">SUM(F30:F31)</f>
        <v>266853401</v>
      </c>
      <c r="G36" s="47">
        <f t="shared" si="14"/>
        <v>292300000</v>
      </c>
      <c r="H36" s="47">
        <f t="shared" si="14"/>
        <v>305900000</v>
      </c>
      <c r="I36" s="47">
        <f t="shared" si="14"/>
        <v>316865000</v>
      </c>
      <c r="J36" s="47">
        <f t="shared" si="14"/>
        <v>324636000</v>
      </c>
      <c r="K36" s="48">
        <f t="shared" si="14"/>
        <v>332400000</v>
      </c>
      <c r="L36" s="48">
        <f t="shared" si="14"/>
        <v>340000000</v>
      </c>
      <c r="M36" s="48">
        <f t="shared" si="14"/>
        <v>348160000</v>
      </c>
      <c r="N36" s="47">
        <f t="shared" si="14"/>
        <v>356136000</v>
      </c>
      <c r="O36" s="4">
        <f t="shared" si="3"/>
        <v>104.65275401984262</v>
      </c>
      <c r="P36" s="4">
        <f t="shared" si="4"/>
        <v>103.58450474011114</v>
      </c>
      <c r="Q36" s="4">
        <f t="shared" si="10"/>
        <v>102.45246398308427</v>
      </c>
      <c r="R36" s="4">
        <f t="shared" si="11"/>
        <v>102.39160167079437</v>
      </c>
      <c r="S36" s="4">
        <f t="shared" si="12"/>
        <v>102.28640192539109</v>
      </c>
      <c r="T36" s="4">
        <f t="shared" si="13"/>
        <v>102.4</v>
      </c>
      <c r="U36" s="45" t="s">
        <v>38</v>
      </c>
    </row>
    <row r="37" spans="1:21" ht="19.5" customHeight="1">
      <c r="A37" s="49" t="s">
        <v>39</v>
      </c>
      <c r="B37" s="53" t="s">
        <v>40</v>
      </c>
      <c r="C37" s="50" t="s">
        <v>82</v>
      </c>
      <c r="D37" s="51"/>
      <c r="E37" s="51">
        <f>SUM(E38:E40)</f>
        <v>202306137</v>
      </c>
      <c r="F37" s="51">
        <f aca="true" t="shared" si="15" ref="F37:N37">SUM(F38:F40)</f>
        <v>188371281</v>
      </c>
      <c r="G37" s="51">
        <f t="shared" si="15"/>
        <v>217858000</v>
      </c>
      <c r="H37" s="51">
        <f t="shared" si="15"/>
        <v>226141000</v>
      </c>
      <c r="I37" s="51">
        <f t="shared" si="15"/>
        <v>233597000</v>
      </c>
      <c r="J37" s="51">
        <f t="shared" si="15"/>
        <v>239161000</v>
      </c>
      <c r="K37" s="51">
        <f t="shared" si="15"/>
        <v>241909200</v>
      </c>
      <c r="L37" s="51">
        <f t="shared" si="15"/>
        <v>248637100</v>
      </c>
      <c r="M37" s="51">
        <f t="shared" si="15"/>
        <v>254465200</v>
      </c>
      <c r="N37" s="52">
        <f t="shared" si="15"/>
        <v>257393100</v>
      </c>
      <c r="O37" s="4">
        <f t="shared" si="3"/>
        <v>103.80201782812657</v>
      </c>
      <c r="P37" s="4">
        <f t="shared" si="4"/>
        <v>103.29705803016702</v>
      </c>
      <c r="Q37" s="4">
        <f t="shared" si="10"/>
        <v>102.38187990427959</v>
      </c>
      <c r="R37" s="4">
        <f t="shared" si="11"/>
        <v>101.14910039680383</v>
      </c>
      <c r="S37" s="4">
        <f t="shared" si="12"/>
        <v>102.78116747936829</v>
      </c>
      <c r="T37" s="4">
        <f t="shared" si="13"/>
        <v>102.34401865208369</v>
      </c>
      <c r="U37" s="53" t="s">
        <v>40</v>
      </c>
    </row>
    <row r="38" spans="1:21" ht="19.5" customHeight="1">
      <c r="A38" s="2"/>
      <c r="B38" s="6" t="s">
        <v>41</v>
      </c>
      <c r="C38" s="34" t="s">
        <v>83</v>
      </c>
      <c r="D38" s="18"/>
      <c r="E38" s="18">
        <v>53027656</v>
      </c>
      <c r="F38" s="18">
        <v>56304489</v>
      </c>
      <c r="G38" s="18">
        <v>57100000</v>
      </c>
      <c r="H38" s="18">
        <v>58813000</v>
      </c>
      <c r="I38" s="18">
        <v>60600000</v>
      </c>
      <c r="J38" s="18">
        <v>62400000</v>
      </c>
      <c r="K38" s="18">
        <v>64300000</v>
      </c>
      <c r="L38" s="18">
        <v>66200000</v>
      </c>
      <c r="M38" s="18">
        <v>68100000</v>
      </c>
      <c r="N38" s="19">
        <v>70100000</v>
      </c>
      <c r="O38" s="4">
        <f t="shared" si="3"/>
        <v>103</v>
      </c>
      <c r="P38" s="4">
        <f t="shared" si="4"/>
        <v>103.03844388145478</v>
      </c>
      <c r="Q38" s="4">
        <f t="shared" si="10"/>
        <v>102.97029702970298</v>
      </c>
      <c r="R38" s="4">
        <f t="shared" si="11"/>
        <v>103.04487179487178</v>
      </c>
      <c r="S38" s="4">
        <f t="shared" si="12"/>
        <v>102.95489891135303</v>
      </c>
      <c r="T38" s="4">
        <f t="shared" si="13"/>
        <v>102.87009063444108</v>
      </c>
      <c r="U38" s="6" t="s">
        <v>41</v>
      </c>
    </row>
    <row r="39" spans="1:21" ht="19.5" customHeight="1">
      <c r="A39" s="2"/>
      <c r="B39" s="6" t="s">
        <v>42</v>
      </c>
      <c r="C39" s="34" t="s">
        <v>84</v>
      </c>
      <c r="D39" s="18"/>
      <c r="E39" s="18">
        <v>504277</v>
      </c>
      <c r="F39" s="18">
        <v>1740000</v>
      </c>
      <c r="G39" s="18">
        <v>1994000</v>
      </c>
      <c r="H39" s="18">
        <v>1528000</v>
      </c>
      <c r="I39" s="18">
        <v>1197000</v>
      </c>
      <c r="J39" s="18">
        <v>867000</v>
      </c>
      <c r="K39" s="18">
        <v>609200</v>
      </c>
      <c r="L39" s="18">
        <v>437100</v>
      </c>
      <c r="M39" s="18">
        <v>265200</v>
      </c>
      <c r="N39" s="19">
        <v>93100</v>
      </c>
      <c r="O39" s="4">
        <f t="shared" si="3"/>
        <v>76.62988966900703</v>
      </c>
      <c r="P39" s="4">
        <f t="shared" si="4"/>
        <v>78.33769633507853</v>
      </c>
      <c r="Q39" s="4">
        <f t="shared" si="10"/>
        <v>72.4310776942356</v>
      </c>
      <c r="R39" s="4">
        <f t="shared" si="11"/>
        <v>70.26528258362168</v>
      </c>
      <c r="S39" s="4">
        <f t="shared" si="12"/>
        <v>71.74983585029547</v>
      </c>
      <c r="T39" s="4">
        <f t="shared" si="13"/>
        <v>60.6726149622512</v>
      </c>
      <c r="U39" s="6" t="s">
        <v>42</v>
      </c>
    </row>
    <row r="40" spans="1:21" ht="19.5" customHeight="1">
      <c r="A40" s="2"/>
      <c r="B40" s="6" t="s">
        <v>43</v>
      </c>
      <c r="C40" s="34" t="s">
        <v>85</v>
      </c>
      <c r="D40" s="18"/>
      <c r="E40" s="18">
        <v>148774204</v>
      </c>
      <c r="F40" s="18">
        <v>130326792</v>
      </c>
      <c r="G40" s="18">
        <v>158764000</v>
      </c>
      <c r="H40" s="18">
        <v>165800000</v>
      </c>
      <c r="I40" s="18">
        <v>171800000</v>
      </c>
      <c r="J40" s="18">
        <v>175894000</v>
      </c>
      <c r="K40" s="18">
        <v>177000000</v>
      </c>
      <c r="L40" s="18">
        <v>182000000</v>
      </c>
      <c r="M40" s="18">
        <v>186100000</v>
      </c>
      <c r="N40" s="19">
        <v>187200000</v>
      </c>
      <c r="O40" s="4">
        <f t="shared" si="3"/>
        <v>104.43173515406517</v>
      </c>
      <c r="P40" s="4">
        <f t="shared" si="4"/>
        <v>103.61881785283474</v>
      </c>
      <c r="Q40" s="4">
        <f t="shared" si="10"/>
        <v>102.38300349243306</v>
      </c>
      <c r="R40" s="4">
        <f t="shared" si="11"/>
        <v>100.62878779264786</v>
      </c>
      <c r="S40" s="4">
        <f t="shared" si="12"/>
        <v>102.82485875706216</v>
      </c>
      <c r="T40" s="4">
        <f t="shared" si="13"/>
        <v>102.25274725274724</v>
      </c>
      <c r="U40" s="6" t="s">
        <v>43</v>
      </c>
    </row>
    <row r="41" spans="1:21" ht="19.5" customHeight="1">
      <c r="A41" s="2" t="s">
        <v>44</v>
      </c>
      <c r="B41" s="6" t="s">
        <v>45</v>
      </c>
      <c r="C41" s="34" t="s">
        <v>86</v>
      </c>
      <c r="D41" s="18"/>
      <c r="E41" s="18">
        <f>SUM(E36-E37)</f>
        <v>53754827</v>
      </c>
      <c r="F41" s="18">
        <f aca="true" t="shared" si="16" ref="F41:N41">SUM(F36-F37)</f>
        <v>78482120</v>
      </c>
      <c r="G41" s="18">
        <f t="shared" si="16"/>
        <v>74442000</v>
      </c>
      <c r="H41" s="18">
        <f t="shared" si="16"/>
        <v>79759000</v>
      </c>
      <c r="I41" s="18">
        <f t="shared" si="16"/>
        <v>83268000</v>
      </c>
      <c r="J41" s="18">
        <f t="shared" si="16"/>
        <v>85475000</v>
      </c>
      <c r="K41" s="18">
        <f t="shared" si="16"/>
        <v>90490800</v>
      </c>
      <c r="L41" s="18">
        <f t="shared" si="16"/>
        <v>91362900</v>
      </c>
      <c r="M41" s="18">
        <f t="shared" si="16"/>
        <v>93694800</v>
      </c>
      <c r="N41" s="19">
        <f t="shared" si="16"/>
        <v>98742900</v>
      </c>
      <c r="O41" s="4">
        <f t="shared" si="3"/>
        <v>107.14247333494534</v>
      </c>
      <c r="P41" s="4">
        <f t="shared" si="4"/>
        <v>104.39950350430674</v>
      </c>
      <c r="Q41" s="4">
        <f t="shared" si="10"/>
        <v>102.65047797473218</v>
      </c>
      <c r="R41" s="4">
        <f t="shared" si="11"/>
        <v>105.86814858145657</v>
      </c>
      <c r="S41" s="4">
        <f t="shared" si="12"/>
        <v>100.96374438064421</v>
      </c>
      <c r="T41" s="4">
        <f t="shared" si="13"/>
        <v>102.55234892937943</v>
      </c>
      <c r="U41" s="6" t="s">
        <v>45</v>
      </c>
    </row>
    <row r="42" spans="1:21" ht="31.5">
      <c r="A42" s="2" t="s">
        <v>14</v>
      </c>
      <c r="B42" s="3" t="s">
        <v>72</v>
      </c>
      <c r="C42" s="34" t="s">
        <v>87</v>
      </c>
      <c r="D42" s="18"/>
      <c r="E42" s="18">
        <f>SUM(E43:E44)</f>
        <v>1653427</v>
      </c>
      <c r="F42" s="18">
        <f aca="true" t="shared" si="17" ref="F42:N42">SUM(F43:F44)</f>
        <v>5447120</v>
      </c>
      <c r="G42" s="18">
        <f t="shared" si="17"/>
        <v>9442000</v>
      </c>
      <c r="H42" s="18">
        <f t="shared" si="17"/>
        <v>9442000</v>
      </c>
      <c r="I42" s="18">
        <f t="shared" si="17"/>
        <v>8025000</v>
      </c>
      <c r="J42" s="18">
        <f t="shared" si="17"/>
        <v>6275000</v>
      </c>
      <c r="K42" s="18">
        <f t="shared" si="17"/>
        <v>1666665</v>
      </c>
      <c r="L42" s="18">
        <f t="shared" si="17"/>
        <v>2150000</v>
      </c>
      <c r="M42" s="18">
        <f t="shared" si="17"/>
        <v>2150000</v>
      </c>
      <c r="N42" s="19">
        <f t="shared" si="17"/>
        <v>2150000</v>
      </c>
      <c r="O42" s="4">
        <f t="shared" si="3"/>
        <v>100</v>
      </c>
      <c r="P42" s="4">
        <f t="shared" si="4"/>
        <v>84.99258631645837</v>
      </c>
      <c r="Q42" s="4">
        <f t="shared" si="10"/>
        <v>78.19314641744548</v>
      </c>
      <c r="R42" s="4">
        <f t="shared" si="11"/>
        <v>26.560398406374503</v>
      </c>
      <c r="S42" s="4">
        <f t="shared" si="12"/>
        <v>129.000129000129</v>
      </c>
      <c r="T42" s="4">
        <f t="shared" si="13"/>
        <v>100</v>
      </c>
      <c r="U42" s="3" t="s">
        <v>72</v>
      </c>
    </row>
    <row r="43" spans="1:21" ht="63">
      <c r="A43" s="2"/>
      <c r="B43" s="3" t="s">
        <v>68</v>
      </c>
      <c r="C43" s="34" t="s">
        <v>88</v>
      </c>
      <c r="D43" s="18"/>
      <c r="E43" s="18">
        <f>1250000+403427</f>
        <v>1653427</v>
      </c>
      <c r="F43" s="18">
        <v>5047120</v>
      </c>
      <c r="G43" s="18">
        <f>5400000+4042000</f>
        <v>9442000</v>
      </c>
      <c r="H43" s="18">
        <f>4042000+5400000</f>
        <v>9442000</v>
      </c>
      <c r="I43" s="18">
        <f>3875000+4150000</f>
        <v>8025000</v>
      </c>
      <c r="J43" s="18">
        <f>2125000+4150000</f>
        <v>6275000</v>
      </c>
      <c r="K43" s="18">
        <v>1666665</v>
      </c>
      <c r="L43" s="18">
        <v>2150000</v>
      </c>
      <c r="M43" s="18">
        <v>2150000</v>
      </c>
      <c r="N43" s="19">
        <v>2150000</v>
      </c>
      <c r="O43" s="4">
        <f t="shared" si="3"/>
        <v>100</v>
      </c>
      <c r="P43" s="4">
        <f t="shared" si="4"/>
        <v>84.99258631645837</v>
      </c>
      <c r="Q43" s="4">
        <f t="shared" si="10"/>
        <v>78.19314641744548</v>
      </c>
      <c r="R43" s="4">
        <f t="shared" si="11"/>
        <v>26.560398406374503</v>
      </c>
      <c r="S43" s="4">
        <f t="shared" si="12"/>
        <v>129.000129000129</v>
      </c>
      <c r="T43" s="4">
        <f t="shared" si="13"/>
        <v>100</v>
      </c>
      <c r="U43" s="3" t="s">
        <v>68</v>
      </c>
    </row>
    <row r="44" spans="1:21" ht="31.5">
      <c r="A44" s="2"/>
      <c r="B44" s="3" t="s">
        <v>59</v>
      </c>
      <c r="C44" s="34" t="s">
        <v>89</v>
      </c>
      <c r="D44" s="18"/>
      <c r="E44" s="18">
        <v>0</v>
      </c>
      <c r="F44" s="18">
        <v>400000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9">
        <v>0</v>
      </c>
      <c r="O44" s="4"/>
      <c r="P44" s="4"/>
      <c r="Q44" s="4"/>
      <c r="R44" s="4"/>
      <c r="S44" s="4"/>
      <c r="T44" s="4"/>
      <c r="U44" s="3" t="s">
        <v>59</v>
      </c>
    </row>
    <row r="45" spans="1:21" ht="19.5" customHeight="1">
      <c r="A45" s="2" t="s">
        <v>15</v>
      </c>
      <c r="B45" s="6" t="s">
        <v>46</v>
      </c>
      <c r="C45" s="34" t="s">
        <v>90</v>
      </c>
      <c r="D45" s="18"/>
      <c r="E45" s="18">
        <f>SUM(E41-E43)</f>
        <v>52101400</v>
      </c>
      <c r="F45" s="18">
        <f aca="true" t="shared" si="18" ref="F45:N45">SUM(F41-F43)</f>
        <v>73435000</v>
      </c>
      <c r="G45" s="18">
        <f t="shared" si="18"/>
        <v>65000000</v>
      </c>
      <c r="H45" s="18">
        <f t="shared" si="18"/>
        <v>70317000</v>
      </c>
      <c r="I45" s="18">
        <f t="shared" si="18"/>
        <v>75243000</v>
      </c>
      <c r="J45" s="18">
        <f t="shared" si="18"/>
        <v>79200000</v>
      </c>
      <c r="K45" s="18">
        <f t="shared" si="18"/>
        <v>88824135</v>
      </c>
      <c r="L45" s="18">
        <f t="shared" si="18"/>
        <v>89212900</v>
      </c>
      <c r="M45" s="18">
        <f t="shared" si="18"/>
        <v>91544800</v>
      </c>
      <c r="N45" s="19">
        <f t="shared" si="18"/>
        <v>96592900</v>
      </c>
      <c r="O45" s="4">
        <f t="shared" si="3"/>
        <v>108.18</v>
      </c>
      <c r="P45" s="4">
        <f t="shared" si="4"/>
        <v>107.00541831989419</v>
      </c>
      <c r="Q45" s="4">
        <f t="shared" si="10"/>
        <v>105.25896096646865</v>
      </c>
      <c r="R45" s="4">
        <f t="shared" si="11"/>
        <v>112.15168560606061</v>
      </c>
      <c r="S45" s="4">
        <f t="shared" si="12"/>
        <v>100.4376794662847</v>
      </c>
      <c r="T45" s="4">
        <f t="shared" si="13"/>
        <v>102.6138596548257</v>
      </c>
      <c r="U45" s="6" t="s">
        <v>46</v>
      </c>
    </row>
    <row r="46" spans="1:21" ht="19.5" customHeight="1">
      <c r="A46" s="2" t="s">
        <v>16</v>
      </c>
      <c r="B46" s="6" t="s">
        <v>47</v>
      </c>
      <c r="C46" s="34" t="s">
        <v>91</v>
      </c>
      <c r="D46" s="18"/>
      <c r="E46" s="18">
        <f>SUM(E47:E48)</f>
        <v>63084827</v>
      </c>
      <c r="F46" s="18">
        <f aca="true" t="shared" si="19" ref="F46:N46">SUM(F47:F48)</f>
        <v>92035000</v>
      </c>
      <c r="G46" s="18">
        <f t="shared" si="19"/>
        <v>65000000</v>
      </c>
      <c r="H46" s="18">
        <f t="shared" si="19"/>
        <v>70000000</v>
      </c>
      <c r="I46" s="18">
        <f t="shared" si="19"/>
        <v>75200000</v>
      </c>
      <c r="J46" s="18">
        <f t="shared" si="19"/>
        <v>79200000</v>
      </c>
      <c r="K46" s="18">
        <f t="shared" si="19"/>
        <v>88800000</v>
      </c>
      <c r="L46" s="18">
        <f t="shared" si="19"/>
        <v>89200000</v>
      </c>
      <c r="M46" s="18">
        <f t="shared" si="19"/>
        <v>91500000</v>
      </c>
      <c r="N46" s="19">
        <f t="shared" si="19"/>
        <v>96000000</v>
      </c>
      <c r="O46" s="4">
        <f t="shared" si="3"/>
        <v>107.6923076923077</v>
      </c>
      <c r="P46" s="4">
        <f t="shared" si="4"/>
        <v>107.42857142857143</v>
      </c>
      <c r="Q46" s="4">
        <f t="shared" si="10"/>
        <v>105.31914893617021</v>
      </c>
      <c r="R46" s="4">
        <f t="shared" si="11"/>
        <v>112.12121212121211</v>
      </c>
      <c r="S46" s="4">
        <f t="shared" si="12"/>
        <v>100.45045045045045</v>
      </c>
      <c r="T46" s="4">
        <f t="shared" si="13"/>
        <v>102.57847533632287</v>
      </c>
      <c r="U46" s="6" t="s">
        <v>47</v>
      </c>
    </row>
    <row r="47" spans="1:21" ht="19.5" customHeight="1">
      <c r="A47" s="2"/>
      <c r="B47" s="6" t="s">
        <v>48</v>
      </c>
      <c r="C47" s="34" t="s">
        <v>92</v>
      </c>
      <c r="D47" s="18"/>
      <c r="E47" s="18">
        <v>60102921</v>
      </c>
      <c r="F47" s="18">
        <f>12330000+47250000+6700000+12000000+12895000</f>
        <v>91175000</v>
      </c>
      <c r="G47" s="18">
        <v>63500000</v>
      </c>
      <c r="H47" s="18">
        <v>68500000</v>
      </c>
      <c r="I47" s="18">
        <v>73500000</v>
      </c>
      <c r="J47" s="18">
        <v>77200000</v>
      </c>
      <c r="K47" s="18">
        <v>86700000</v>
      </c>
      <c r="L47" s="18">
        <v>86900000</v>
      </c>
      <c r="M47" s="18">
        <v>89000000</v>
      </c>
      <c r="N47" s="19">
        <v>93500000</v>
      </c>
      <c r="O47" s="4">
        <f t="shared" si="3"/>
        <v>107.87401574803151</v>
      </c>
      <c r="P47" s="4">
        <f t="shared" si="4"/>
        <v>107.2992700729927</v>
      </c>
      <c r="Q47" s="4">
        <f t="shared" si="10"/>
        <v>105.03401360544218</v>
      </c>
      <c r="R47" s="4">
        <f t="shared" si="11"/>
        <v>112.30569948186529</v>
      </c>
      <c r="S47" s="4">
        <f t="shared" si="12"/>
        <v>100.23068050749713</v>
      </c>
      <c r="T47" s="4">
        <f t="shared" si="13"/>
        <v>102.41657077100115</v>
      </c>
      <c r="U47" s="6" t="s">
        <v>48</v>
      </c>
    </row>
    <row r="48" spans="1:21" ht="19.5" customHeight="1">
      <c r="A48" s="2"/>
      <c r="B48" s="6" t="s">
        <v>49</v>
      </c>
      <c r="C48" s="34" t="s">
        <v>93</v>
      </c>
      <c r="D48" s="18"/>
      <c r="E48" s="18">
        <v>2981906</v>
      </c>
      <c r="F48" s="18">
        <f>92035000-91175000</f>
        <v>860000</v>
      </c>
      <c r="G48" s="18">
        <v>1500000</v>
      </c>
      <c r="H48" s="18">
        <v>1500000</v>
      </c>
      <c r="I48" s="18">
        <v>1700000</v>
      </c>
      <c r="J48" s="18">
        <v>2000000</v>
      </c>
      <c r="K48" s="18">
        <v>2100000</v>
      </c>
      <c r="L48" s="18">
        <v>2300000</v>
      </c>
      <c r="M48" s="18">
        <v>2500000</v>
      </c>
      <c r="N48" s="19">
        <v>2500000</v>
      </c>
      <c r="O48" s="4">
        <f t="shared" si="3"/>
        <v>100</v>
      </c>
      <c r="P48" s="4">
        <f t="shared" si="4"/>
        <v>113.33333333333333</v>
      </c>
      <c r="Q48" s="4">
        <f t="shared" si="10"/>
        <v>117.64705882352942</v>
      </c>
      <c r="R48" s="4">
        <f t="shared" si="11"/>
        <v>105</v>
      </c>
      <c r="S48" s="4">
        <f t="shared" si="12"/>
        <v>109.52380952380953</v>
      </c>
      <c r="T48" s="4">
        <f t="shared" si="13"/>
        <v>108.69565217391303</v>
      </c>
      <c r="U48" s="6" t="s">
        <v>49</v>
      </c>
    </row>
    <row r="49" spans="1:21" ht="47.25">
      <c r="A49" s="2" t="s">
        <v>17</v>
      </c>
      <c r="B49" s="54" t="s">
        <v>69</v>
      </c>
      <c r="C49" s="34" t="s">
        <v>94</v>
      </c>
      <c r="D49" s="18"/>
      <c r="E49" s="18">
        <f>SUM(E41-E46)</f>
        <v>-9330000</v>
      </c>
      <c r="F49" s="18">
        <f aca="true" t="shared" si="20" ref="F49:N49">SUM(F41-F46)</f>
        <v>-13552880</v>
      </c>
      <c r="G49" s="18">
        <f t="shared" si="20"/>
        <v>9442000</v>
      </c>
      <c r="H49" s="18">
        <f t="shared" si="20"/>
        <v>9759000</v>
      </c>
      <c r="I49" s="18">
        <f t="shared" si="20"/>
        <v>8068000</v>
      </c>
      <c r="J49" s="18">
        <f t="shared" si="20"/>
        <v>6275000</v>
      </c>
      <c r="K49" s="18">
        <f t="shared" si="20"/>
        <v>1690800</v>
      </c>
      <c r="L49" s="18">
        <f t="shared" si="20"/>
        <v>2162900</v>
      </c>
      <c r="M49" s="18">
        <f t="shared" si="20"/>
        <v>2194800</v>
      </c>
      <c r="N49" s="19">
        <f t="shared" si="20"/>
        <v>2742900</v>
      </c>
      <c r="O49" s="4">
        <f t="shared" si="3"/>
        <v>103.3573395467062</v>
      </c>
      <c r="P49" s="4">
        <f t="shared" si="4"/>
        <v>82.67240495952454</v>
      </c>
      <c r="Q49" s="4">
        <f t="shared" si="10"/>
        <v>77.77640059494298</v>
      </c>
      <c r="R49" s="4">
        <f t="shared" si="11"/>
        <v>26.945019920318725</v>
      </c>
      <c r="S49" s="4">
        <f t="shared" si="12"/>
        <v>127.92169387272297</v>
      </c>
      <c r="T49" s="4">
        <f t="shared" si="13"/>
        <v>101.47487170003235</v>
      </c>
      <c r="U49" s="54" t="s">
        <v>69</v>
      </c>
    </row>
    <row r="50" spans="1:21" ht="47.25">
      <c r="A50" s="2" t="s">
        <v>18</v>
      </c>
      <c r="B50" s="54" t="s">
        <v>70</v>
      </c>
      <c r="C50" s="34" t="s">
        <v>95</v>
      </c>
      <c r="D50" s="18"/>
      <c r="E50" s="18">
        <f>SUM(E45-E46)</f>
        <v>-10983427</v>
      </c>
      <c r="F50" s="18">
        <f aca="true" t="shared" si="21" ref="F50:N50">SUM(F45-F46)</f>
        <v>-18600000</v>
      </c>
      <c r="G50" s="18">
        <f t="shared" si="21"/>
        <v>0</v>
      </c>
      <c r="H50" s="18">
        <f t="shared" si="21"/>
        <v>317000</v>
      </c>
      <c r="I50" s="18">
        <f t="shared" si="21"/>
        <v>43000</v>
      </c>
      <c r="J50" s="18">
        <f t="shared" si="21"/>
        <v>0</v>
      </c>
      <c r="K50" s="18">
        <f t="shared" si="21"/>
        <v>24135</v>
      </c>
      <c r="L50" s="18">
        <f t="shared" si="21"/>
        <v>12900</v>
      </c>
      <c r="M50" s="18">
        <f t="shared" si="21"/>
        <v>44800</v>
      </c>
      <c r="N50" s="19">
        <f t="shared" si="21"/>
        <v>592900</v>
      </c>
      <c r="O50" s="4"/>
      <c r="P50" s="4">
        <f t="shared" si="4"/>
        <v>13.564668769716087</v>
      </c>
      <c r="Q50" s="4">
        <f t="shared" si="10"/>
        <v>0</v>
      </c>
      <c r="R50" s="4"/>
      <c r="S50" s="4">
        <f t="shared" si="12"/>
        <v>53.44934742075823</v>
      </c>
      <c r="T50" s="4">
        <f t="shared" si="13"/>
        <v>347.28682170542635</v>
      </c>
      <c r="U50" s="54" t="s">
        <v>70</v>
      </c>
    </row>
    <row r="51" spans="1:21" ht="31.5">
      <c r="A51" s="2" t="s">
        <v>19</v>
      </c>
      <c r="B51" s="9" t="s">
        <v>71</v>
      </c>
      <c r="C51" s="34" t="s">
        <v>96</v>
      </c>
      <c r="D51" s="18"/>
      <c r="E51" s="18">
        <f>SUM(E52:E56)</f>
        <v>11000000</v>
      </c>
      <c r="F51" s="18">
        <f aca="true" t="shared" si="22" ref="F51:N51">SUM(F52:F56)</f>
        <v>18600000</v>
      </c>
      <c r="G51" s="18">
        <f t="shared" si="22"/>
        <v>0</v>
      </c>
      <c r="H51" s="18">
        <f t="shared" si="22"/>
        <v>0</v>
      </c>
      <c r="I51" s="18">
        <f t="shared" si="22"/>
        <v>0</v>
      </c>
      <c r="J51" s="18">
        <f t="shared" si="22"/>
        <v>0</v>
      </c>
      <c r="K51" s="18">
        <f t="shared" si="22"/>
        <v>0</v>
      </c>
      <c r="L51" s="18">
        <f t="shared" si="22"/>
        <v>0</v>
      </c>
      <c r="M51" s="18">
        <f t="shared" si="22"/>
        <v>0</v>
      </c>
      <c r="N51" s="19">
        <f t="shared" si="22"/>
        <v>0</v>
      </c>
      <c r="O51" s="4"/>
      <c r="P51" s="4"/>
      <c r="Q51" s="4"/>
      <c r="R51" s="4"/>
      <c r="S51" s="4"/>
      <c r="T51" s="4"/>
      <c r="U51" s="9" t="s">
        <v>71</v>
      </c>
    </row>
    <row r="52" spans="1:21" ht="19.5" customHeight="1">
      <c r="A52" s="2"/>
      <c r="B52" s="6" t="s">
        <v>50</v>
      </c>
      <c r="C52" s="34" t="s">
        <v>97</v>
      </c>
      <c r="D52" s="18"/>
      <c r="E52" s="18">
        <v>10000000</v>
      </c>
      <c r="F52" s="18">
        <v>17200000</v>
      </c>
      <c r="G52" s="18"/>
      <c r="H52" s="18"/>
      <c r="I52" s="18"/>
      <c r="J52" s="18"/>
      <c r="K52" s="18"/>
      <c r="L52" s="18"/>
      <c r="M52" s="18"/>
      <c r="N52" s="19"/>
      <c r="O52" s="4"/>
      <c r="P52" s="4"/>
      <c r="Q52" s="4"/>
      <c r="R52" s="4"/>
      <c r="S52" s="4"/>
      <c r="T52" s="4"/>
      <c r="U52" s="6" t="s">
        <v>50</v>
      </c>
    </row>
    <row r="53" spans="1:21" ht="19.5" customHeight="1">
      <c r="A53" s="2"/>
      <c r="B53" s="6" t="s">
        <v>51</v>
      </c>
      <c r="C53" s="34" t="s">
        <v>98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9"/>
      <c r="O53" s="4"/>
      <c r="P53" s="4"/>
      <c r="Q53" s="4"/>
      <c r="R53" s="4"/>
      <c r="S53" s="4"/>
      <c r="T53" s="4"/>
      <c r="U53" s="6" t="s">
        <v>51</v>
      </c>
    </row>
    <row r="54" spans="1:21" ht="47.25">
      <c r="A54" s="2"/>
      <c r="B54" s="3" t="s">
        <v>73</v>
      </c>
      <c r="C54" s="34" t="s">
        <v>99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9"/>
      <c r="O54" s="4"/>
      <c r="P54" s="4"/>
      <c r="Q54" s="4"/>
      <c r="R54" s="4"/>
      <c r="S54" s="4"/>
      <c r="T54" s="4"/>
      <c r="U54" s="3" t="s">
        <v>73</v>
      </c>
    </row>
    <row r="55" spans="1:21" ht="15.75">
      <c r="A55" s="2"/>
      <c r="B55" s="3" t="s">
        <v>77</v>
      </c>
      <c r="C55" s="34" t="s">
        <v>100</v>
      </c>
      <c r="D55" s="18"/>
      <c r="E55" s="18">
        <v>1000000</v>
      </c>
      <c r="F55" s="18">
        <v>1400000</v>
      </c>
      <c r="G55" s="18"/>
      <c r="H55" s="18"/>
      <c r="I55" s="18"/>
      <c r="J55" s="18"/>
      <c r="K55" s="18"/>
      <c r="L55" s="18"/>
      <c r="M55" s="18"/>
      <c r="N55" s="19"/>
      <c r="O55" s="4"/>
      <c r="P55" s="4"/>
      <c r="Q55" s="4"/>
      <c r="R55" s="4"/>
      <c r="S55" s="4"/>
      <c r="T55" s="4"/>
      <c r="U55" s="3" t="s">
        <v>77</v>
      </c>
    </row>
    <row r="56" spans="1:21" ht="20.25" customHeight="1">
      <c r="A56" s="2"/>
      <c r="B56" s="6" t="s">
        <v>52</v>
      </c>
      <c r="C56" s="34" t="s">
        <v>101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9"/>
      <c r="O56" s="4"/>
      <c r="P56" s="4"/>
      <c r="Q56" s="4"/>
      <c r="R56" s="4"/>
      <c r="S56" s="4"/>
      <c r="T56" s="4"/>
      <c r="U56" s="6" t="s">
        <v>52</v>
      </c>
    </row>
    <row r="57" spans="1:21" ht="31.5">
      <c r="A57" s="2" t="s">
        <v>20</v>
      </c>
      <c r="B57" s="9" t="s">
        <v>53</v>
      </c>
      <c r="C57" s="34" t="s">
        <v>102</v>
      </c>
      <c r="D57" s="18"/>
      <c r="E57" s="18">
        <f>SUM(E50:E51)</f>
        <v>16573</v>
      </c>
      <c r="F57" s="18">
        <f aca="true" t="shared" si="23" ref="F57:N57">SUM(F50:F51)</f>
        <v>0</v>
      </c>
      <c r="G57" s="18">
        <f t="shared" si="23"/>
        <v>0</v>
      </c>
      <c r="H57" s="18">
        <f t="shared" si="23"/>
        <v>317000</v>
      </c>
      <c r="I57" s="18">
        <f t="shared" si="23"/>
        <v>43000</v>
      </c>
      <c r="J57" s="18">
        <f t="shared" si="23"/>
        <v>0</v>
      </c>
      <c r="K57" s="18">
        <f t="shared" si="23"/>
        <v>24135</v>
      </c>
      <c r="L57" s="18">
        <f t="shared" si="23"/>
        <v>12900</v>
      </c>
      <c r="M57" s="18">
        <f t="shared" si="23"/>
        <v>44800</v>
      </c>
      <c r="N57" s="19">
        <f t="shared" si="23"/>
        <v>592900</v>
      </c>
      <c r="O57" s="4"/>
      <c r="P57" s="4">
        <f t="shared" si="4"/>
        <v>13.564668769716087</v>
      </c>
      <c r="Q57" s="4">
        <f t="shared" si="10"/>
        <v>0</v>
      </c>
      <c r="R57" s="4"/>
      <c r="S57" s="4">
        <f t="shared" si="12"/>
        <v>53.44934742075823</v>
      </c>
      <c r="T57" s="4">
        <f t="shared" si="13"/>
        <v>347.28682170542635</v>
      </c>
      <c r="U57" s="9" t="s">
        <v>53</v>
      </c>
    </row>
    <row r="58" spans="1:21" ht="19.5" customHeight="1">
      <c r="A58" s="2" t="s">
        <v>21</v>
      </c>
      <c r="B58" s="6" t="s">
        <v>54</v>
      </c>
      <c r="C58" s="34" t="s">
        <v>103</v>
      </c>
      <c r="D58" s="18"/>
      <c r="E58" s="18">
        <v>736365</v>
      </c>
      <c r="F58" s="18">
        <v>752938</v>
      </c>
      <c r="G58" s="18">
        <v>752818</v>
      </c>
      <c r="H58" s="18">
        <v>752818</v>
      </c>
      <c r="I58" s="18">
        <v>1069818</v>
      </c>
      <c r="J58" s="18">
        <v>1112818</v>
      </c>
      <c r="K58" s="18">
        <v>1112818</v>
      </c>
      <c r="L58" s="18">
        <v>1136953</v>
      </c>
      <c r="M58" s="18">
        <v>1149853</v>
      </c>
      <c r="N58" s="19">
        <v>1194653</v>
      </c>
      <c r="O58" s="4">
        <f t="shared" si="3"/>
        <v>100</v>
      </c>
      <c r="P58" s="4">
        <f t="shared" si="4"/>
        <v>142.10845117943512</v>
      </c>
      <c r="Q58" s="4">
        <f t="shared" si="10"/>
        <v>104.01937525822149</v>
      </c>
      <c r="R58" s="4">
        <f t="shared" si="11"/>
        <v>100</v>
      </c>
      <c r="S58" s="4">
        <f t="shared" si="12"/>
        <v>102.16881826138686</v>
      </c>
      <c r="T58" s="4">
        <f t="shared" si="13"/>
        <v>101.13461154506827</v>
      </c>
      <c r="U58" s="6" t="s">
        <v>54</v>
      </c>
    </row>
    <row r="59" spans="1:21" ht="15.75">
      <c r="A59" s="2" t="s">
        <v>22</v>
      </c>
      <c r="B59" s="7" t="s">
        <v>107</v>
      </c>
      <c r="C59" s="34" t="s">
        <v>104</v>
      </c>
      <c r="D59" s="18"/>
      <c r="E59" s="18">
        <f>SUM(E57+E58)</f>
        <v>752938</v>
      </c>
      <c r="F59" s="18">
        <f aca="true" t="shared" si="24" ref="F59:K59">SUM(F57+F58)</f>
        <v>752938</v>
      </c>
      <c r="G59" s="18">
        <f t="shared" si="24"/>
        <v>752818</v>
      </c>
      <c r="H59" s="18">
        <f t="shared" si="24"/>
        <v>1069818</v>
      </c>
      <c r="I59" s="18">
        <f t="shared" si="24"/>
        <v>1112818</v>
      </c>
      <c r="J59" s="18">
        <f t="shared" si="24"/>
        <v>1112818</v>
      </c>
      <c r="K59" s="18">
        <f t="shared" si="24"/>
        <v>1136953</v>
      </c>
      <c r="L59" s="18">
        <f>SUM(L57+L58)</f>
        <v>1149853</v>
      </c>
      <c r="M59" s="18">
        <f>SUM(M57+M58)</f>
        <v>1194653</v>
      </c>
      <c r="N59" s="19">
        <f>SUM(N57+N58)</f>
        <v>1787553</v>
      </c>
      <c r="O59" s="4">
        <f t="shared" si="3"/>
        <v>142.10845117943512</v>
      </c>
      <c r="P59" s="4">
        <f t="shared" si="4"/>
        <v>104.01937525822149</v>
      </c>
      <c r="Q59" s="4">
        <f t="shared" si="10"/>
        <v>100</v>
      </c>
      <c r="R59" s="4">
        <f t="shared" si="11"/>
        <v>102.16881826138686</v>
      </c>
      <c r="S59" s="4">
        <f t="shared" si="12"/>
        <v>101.13461154506827</v>
      </c>
      <c r="T59" s="4">
        <f t="shared" si="13"/>
        <v>103.89615020354776</v>
      </c>
      <c r="U59" s="7" t="s">
        <v>107</v>
      </c>
    </row>
    <row r="60" spans="1:21" ht="19.5" customHeight="1">
      <c r="A60" s="10"/>
      <c r="B60" s="11"/>
      <c r="C60" s="28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2"/>
      <c r="O60" s="4"/>
      <c r="P60" s="4"/>
      <c r="Q60" s="4"/>
      <c r="R60" s="4"/>
      <c r="S60" s="4"/>
      <c r="T60" s="4"/>
      <c r="U60" s="11"/>
    </row>
    <row r="61" spans="1:21" ht="19.5" customHeight="1" thickBot="1">
      <c r="A61" s="12" t="s">
        <v>23</v>
      </c>
      <c r="B61" s="13" t="s">
        <v>55</v>
      </c>
      <c r="C61" s="35" t="s">
        <v>105</v>
      </c>
      <c r="D61" s="23"/>
      <c r="E61" s="23">
        <v>13750000</v>
      </c>
      <c r="F61" s="23">
        <v>27700000</v>
      </c>
      <c r="G61" s="23">
        <v>22300000</v>
      </c>
      <c r="H61" s="23">
        <v>16900000</v>
      </c>
      <c r="I61" s="23">
        <v>12750000</v>
      </c>
      <c r="J61" s="23">
        <v>8600000</v>
      </c>
      <c r="K61" s="23">
        <v>6450000</v>
      </c>
      <c r="L61" s="23">
        <v>4300000</v>
      </c>
      <c r="M61" s="23">
        <v>2150000</v>
      </c>
      <c r="N61" s="24">
        <v>0</v>
      </c>
      <c r="O61" s="4">
        <f t="shared" si="3"/>
        <v>75.7847533632287</v>
      </c>
      <c r="P61" s="4">
        <f t="shared" si="4"/>
        <v>75.44378698224851</v>
      </c>
      <c r="Q61" s="4">
        <f t="shared" si="10"/>
        <v>67.45098039215686</v>
      </c>
      <c r="R61" s="4">
        <f t="shared" si="11"/>
        <v>75</v>
      </c>
      <c r="S61" s="4">
        <f t="shared" si="12"/>
        <v>66.66666666666666</v>
      </c>
      <c r="T61" s="4">
        <f t="shared" si="13"/>
        <v>50</v>
      </c>
      <c r="U61" s="13" t="s">
        <v>55</v>
      </c>
    </row>
    <row r="62" spans="1:3" ht="15.75">
      <c r="A62" s="14"/>
      <c r="B62" s="15"/>
      <c r="C62" s="16"/>
    </row>
    <row r="63" spans="1:14" ht="18.75">
      <c r="A63" s="14"/>
      <c r="B63" s="31" t="s">
        <v>60</v>
      </c>
      <c r="C63" s="32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60" customHeight="1">
      <c r="A64" s="14"/>
      <c r="B64" s="106" t="s">
        <v>74</v>
      </c>
      <c r="C64" s="106"/>
      <c r="D64" s="106"/>
      <c r="E64" s="106"/>
      <c r="F64" s="106"/>
      <c r="G64" s="106"/>
      <c r="H64" s="106"/>
      <c r="I64" s="5"/>
      <c r="J64" s="5"/>
      <c r="K64" s="5"/>
      <c r="L64" s="5"/>
      <c r="M64" s="5"/>
      <c r="N64" s="5"/>
    </row>
    <row r="65" spans="1:14" ht="82.5" customHeight="1">
      <c r="A65" s="14"/>
      <c r="B65" s="106" t="s">
        <v>78</v>
      </c>
      <c r="C65" s="106"/>
      <c r="D65" s="106"/>
      <c r="E65" s="106"/>
      <c r="F65" s="106"/>
      <c r="G65" s="106"/>
      <c r="H65" s="106"/>
      <c r="I65" s="5"/>
      <c r="J65" s="5"/>
      <c r="K65" s="5"/>
      <c r="L65" s="5"/>
      <c r="M65" s="5"/>
      <c r="N65" s="5"/>
    </row>
    <row r="66" spans="1:14" ht="18.75">
      <c r="A66" s="14"/>
      <c r="B66" s="31" t="s">
        <v>75</v>
      </c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1:14" ht="18.75">
      <c r="A67" s="14"/>
      <c r="B67" s="114" t="s">
        <v>61</v>
      </c>
      <c r="C67" s="114"/>
      <c r="D67" s="114"/>
      <c r="E67" s="114"/>
      <c r="F67" s="114"/>
      <c r="G67" s="114"/>
      <c r="H67" s="114"/>
      <c r="I67" s="5"/>
      <c r="J67" s="5"/>
      <c r="K67" s="5"/>
      <c r="L67" s="5"/>
      <c r="M67" s="5"/>
      <c r="N67" s="5"/>
    </row>
    <row r="68" spans="1:14" ht="18.75">
      <c r="A68" s="14"/>
      <c r="B68" s="31"/>
      <c r="C68" s="32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1:14" ht="18.75">
      <c r="A69" s="14"/>
      <c r="B69" s="31"/>
      <c r="C69" s="32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1:14" ht="61.5" customHeight="1">
      <c r="A70" s="14"/>
      <c r="B70" s="31"/>
      <c r="C70" s="32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</row>
    <row r="71" spans="1:14" ht="18.75">
      <c r="A71" s="14"/>
      <c r="B71" s="31"/>
      <c r="C71" s="115" t="s">
        <v>76</v>
      </c>
      <c r="D71" s="115"/>
      <c r="E71" s="115"/>
      <c r="F71" s="115"/>
      <c r="G71" s="115"/>
      <c r="H71" s="115"/>
      <c r="I71" s="5"/>
      <c r="J71" s="5"/>
      <c r="K71" s="5"/>
      <c r="L71" s="5"/>
      <c r="M71" s="5"/>
      <c r="N71" s="5"/>
    </row>
    <row r="72" spans="1:14" ht="18.75">
      <c r="A72" s="14"/>
      <c r="B72" s="31"/>
      <c r="C72" s="116" t="s">
        <v>62</v>
      </c>
      <c r="D72" s="116"/>
      <c r="E72" s="116"/>
      <c r="F72" s="116"/>
      <c r="G72" s="116"/>
      <c r="H72" s="116"/>
      <c r="I72" s="5"/>
      <c r="J72" s="5"/>
      <c r="K72" s="5"/>
      <c r="L72" s="5"/>
      <c r="M72" s="5"/>
      <c r="N72" s="5"/>
    </row>
    <row r="73" spans="1:3" ht="15.75">
      <c r="A73" s="14"/>
      <c r="B73" s="15"/>
      <c r="C73" s="16"/>
    </row>
    <row r="74" spans="1:3" ht="15.75">
      <c r="A74" s="14"/>
      <c r="B74" s="15"/>
      <c r="C74" s="16"/>
    </row>
    <row r="75" spans="1:3" ht="15.75">
      <c r="A75" s="14"/>
      <c r="B75" s="15"/>
      <c r="C75" s="16"/>
    </row>
    <row r="76" spans="1:3" ht="15.75">
      <c r="A76" s="14"/>
      <c r="B76" s="15"/>
      <c r="C76" s="16"/>
    </row>
    <row r="77" spans="1:3" ht="15.75">
      <c r="A77" s="14"/>
      <c r="B77" s="15"/>
      <c r="C77" s="16"/>
    </row>
    <row r="78" spans="1:3" ht="15.75">
      <c r="A78" s="14"/>
      <c r="B78" s="15"/>
      <c r="C78" s="16"/>
    </row>
    <row r="79" spans="1:3" ht="15.75">
      <c r="A79" s="14"/>
      <c r="B79" s="15"/>
      <c r="C79" s="16"/>
    </row>
    <row r="80" spans="1:14" ht="15.75">
      <c r="A80" s="113" t="s">
        <v>15</v>
      </c>
      <c r="B80" s="113"/>
      <c r="C80" s="113"/>
      <c r="D80" s="113"/>
      <c r="E80" s="113"/>
      <c r="F80" s="113"/>
      <c r="G80" s="113"/>
      <c r="H80" s="113"/>
      <c r="I80" s="5"/>
      <c r="J80" s="5"/>
      <c r="K80" s="5"/>
      <c r="L80" s="5"/>
      <c r="M80" s="5"/>
      <c r="N80" s="5"/>
    </row>
    <row r="81" spans="1:3" ht="15.75">
      <c r="A81" s="14"/>
      <c r="B81" s="15"/>
      <c r="C81" s="16"/>
    </row>
    <row r="82" spans="1:3" ht="15.75">
      <c r="A82" s="14"/>
      <c r="B82" s="15"/>
      <c r="C82" s="16"/>
    </row>
    <row r="83" spans="1:3" ht="15.75">
      <c r="A83" s="14"/>
      <c r="B83" s="15"/>
      <c r="C83" s="16"/>
    </row>
    <row r="84" spans="1:3" ht="15.75">
      <c r="A84" s="14"/>
      <c r="B84" s="15"/>
      <c r="C84" s="16"/>
    </row>
    <row r="85" spans="1:3" ht="15.75">
      <c r="A85" s="14"/>
      <c r="B85" s="15"/>
      <c r="C85" s="16"/>
    </row>
    <row r="86" spans="1:3" ht="15.75">
      <c r="A86" s="14"/>
      <c r="B86" s="15"/>
      <c r="C86" s="16"/>
    </row>
    <row r="87" spans="1:3" ht="15.75">
      <c r="A87" s="14"/>
      <c r="B87" s="15"/>
      <c r="C87" s="16"/>
    </row>
    <row r="88" spans="1:3" ht="15.75">
      <c r="A88" s="14"/>
      <c r="B88" s="15"/>
      <c r="C88" s="16"/>
    </row>
    <row r="89" spans="1:3" ht="15.75">
      <c r="A89" s="14"/>
      <c r="B89" s="15"/>
      <c r="C89" s="16"/>
    </row>
    <row r="90" spans="1:3" ht="15.75">
      <c r="A90" s="14"/>
      <c r="B90" s="15"/>
      <c r="C90" s="16"/>
    </row>
    <row r="91" spans="1:3" ht="15.75">
      <c r="A91" s="14"/>
      <c r="B91" s="15"/>
      <c r="C91" s="16"/>
    </row>
    <row r="92" spans="1:3" ht="15.75">
      <c r="A92" s="14"/>
      <c r="B92" s="15"/>
      <c r="C92" s="16"/>
    </row>
    <row r="93" spans="1:3" ht="15.75">
      <c r="A93" s="14"/>
      <c r="B93" s="15"/>
      <c r="C93" s="16"/>
    </row>
    <row r="94" spans="1:3" ht="15.75">
      <c r="A94" s="14"/>
      <c r="B94" s="15"/>
      <c r="C94" s="16"/>
    </row>
    <row r="95" spans="1:3" ht="15.75">
      <c r="A95" s="14"/>
      <c r="B95" s="15"/>
      <c r="C95" s="16"/>
    </row>
    <row r="96" spans="1:3" ht="15.75">
      <c r="A96" s="14"/>
      <c r="B96" s="15"/>
      <c r="C96" s="16"/>
    </row>
    <row r="97" spans="1:3" ht="15.75">
      <c r="A97" s="14"/>
      <c r="B97" s="15"/>
      <c r="C97" s="16"/>
    </row>
    <row r="98" spans="1:3" ht="15.75">
      <c r="A98" s="14"/>
      <c r="B98" s="15"/>
      <c r="C98" s="16"/>
    </row>
    <row r="99" spans="1:3" ht="15.75">
      <c r="A99" s="14"/>
      <c r="B99" s="15"/>
      <c r="C99" s="16"/>
    </row>
    <row r="100" spans="1:3" ht="15.75">
      <c r="A100" s="14"/>
      <c r="B100" s="15"/>
      <c r="C100" s="16"/>
    </row>
    <row r="101" spans="1:3" ht="15.75">
      <c r="A101" s="14"/>
      <c r="B101" s="15"/>
      <c r="C101" s="16"/>
    </row>
    <row r="102" spans="1:3" ht="15.75">
      <c r="A102" s="14"/>
      <c r="B102" s="15"/>
      <c r="C102" s="16"/>
    </row>
    <row r="103" spans="1:3" ht="15.75">
      <c r="A103" s="14"/>
      <c r="B103" s="15"/>
      <c r="C103" s="16"/>
    </row>
    <row r="104" spans="1:3" ht="15.75">
      <c r="A104" s="14"/>
      <c r="B104" s="15"/>
      <c r="C104" s="16"/>
    </row>
    <row r="105" spans="1:3" ht="15.75">
      <c r="A105" s="14"/>
      <c r="B105" s="15"/>
      <c r="C105" s="16"/>
    </row>
    <row r="106" spans="1:3" ht="15.75">
      <c r="A106" s="14"/>
      <c r="B106" s="15"/>
      <c r="C106" s="16"/>
    </row>
    <row r="107" spans="1:3" ht="15.75">
      <c r="A107" s="14"/>
      <c r="B107" s="15"/>
      <c r="C107" s="16"/>
    </row>
    <row r="108" spans="1:3" ht="15.75">
      <c r="A108" s="14"/>
      <c r="B108" s="15"/>
      <c r="C108" s="16"/>
    </row>
    <row r="109" spans="1:3" ht="15.75">
      <c r="A109" s="14"/>
      <c r="B109" s="15"/>
      <c r="C109" s="16"/>
    </row>
    <row r="110" spans="1:3" ht="15.75">
      <c r="A110" s="14"/>
      <c r="B110" s="15"/>
      <c r="C110" s="16"/>
    </row>
    <row r="111" spans="1:3" ht="15.75">
      <c r="A111" s="14"/>
      <c r="B111" s="15"/>
      <c r="C111" s="16"/>
    </row>
    <row r="112" spans="1:3" ht="15.75">
      <c r="A112" s="14"/>
      <c r="B112" s="15"/>
      <c r="C112" s="16"/>
    </row>
    <row r="113" spans="1:3" ht="15.75">
      <c r="A113" s="14"/>
      <c r="B113" s="15"/>
      <c r="C113" s="16"/>
    </row>
    <row r="114" spans="1:3" ht="15.75">
      <c r="A114" s="14"/>
      <c r="B114" s="15"/>
      <c r="C114" s="16"/>
    </row>
    <row r="115" spans="1:3" ht="15.75">
      <c r="A115" s="14"/>
      <c r="B115" s="15"/>
      <c r="C115" s="16"/>
    </row>
    <row r="116" spans="1:3" ht="15.75">
      <c r="A116" s="14"/>
      <c r="B116" s="15"/>
      <c r="C116" s="16"/>
    </row>
    <row r="117" spans="1:3" ht="15.75">
      <c r="A117" s="14"/>
      <c r="B117" s="15"/>
      <c r="C117" s="16"/>
    </row>
    <row r="118" spans="1:3" ht="15.75">
      <c r="A118" s="14"/>
      <c r="B118" s="15"/>
      <c r="C118" s="16"/>
    </row>
    <row r="119" spans="1:3" ht="15.75">
      <c r="A119" s="14"/>
      <c r="B119" s="15"/>
      <c r="C119" s="16"/>
    </row>
    <row r="120" spans="1:3" ht="15.75">
      <c r="A120" s="14"/>
      <c r="B120" s="15"/>
      <c r="C120" s="16"/>
    </row>
    <row r="121" spans="1:3" ht="15.75">
      <c r="A121" s="14"/>
      <c r="B121" s="15"/>
      <c r="C121" s="16"/>
    </row>
    <row r="122" spans="1:3" ht="15.75">
      <c r="A122" s="14"/>
      <c r="B122" s="15"/>
      <c r="C122" s="16"/>
    </row>
    <row r="123" spans="1:3" ht="15.75">
      <c r="A123" s="14"/>
      <c r="B123" s="15"/>
      <c r="C123" s="16"/>
    </row>
    <row r="124" spans="1:3" ht="15.75">
      <c r="A124" s="14"/>
      <c r="B124" s="15"/>
      <c r="C124" s="16"/>
    </row>
    <row r="125" spans="1:3" ht="15.75">
      <c r="A125" s="14"/>
      <c r="B125" s="15"/>
      <c r="C125" s="16"/>
    </row>
    <row r="126" spans="1:3" ht="15.75">
      <c r="A126" s="14"/>
      <c r="B126" s="15"/>
      <c r="C126" s="16"/>
    </row>
    <row r="127" spans="1:3" ht="15.75">
      <c r="A127" s="14"/>
      <c r="B127" s="15"/>
      <c r="C127" s="16"/>
    </row>
    <row r="128" spans="1:3" ht="15.75">
      <c r="A128" s="14"/>
      <c r="B128" s="15"/>
      <c r="C128" s="16"/>
    </row>
    <row r="129" spans="1:3" ht="15.75">
      <c r="A129" s="14"/>
      <c r="B129" s="15"/>
      <c r="C129" s="16"/>
    </row>
    <row r="130" spans="1:3" ht="15.75">
      <c r="A130" s="14"/>
      <c r="B130" s="15"/>
      <c r="C130" s="16"/>
    </row>
    <row r="131" spans="1:3" ht="15.75">
      <c r="A131" s="14"/>
      <c r="B131" s="15"/>
      <c r="C131" s="16"/>
    </row>
    <row r="132" spans="1:3" ht="15.75">
      <c r="A132" s="14"/>
      <c r="B132" s="15"/>
      <c r="C132" s="16"/>
    </row>
    <row r="133" spans="1:3" ht="15.75">
      <c r="A133" s="14"/>
      <c r="B133" s="15"/>
      <c r="C133" s="16"/>
    </row>
    <row r="134" spans="1:3" ht="15.75">
      <c r="A134" s="14"/>
      <c r="B134" s="15"/>
      <c r="C134" s="16"/>
    </row>
    <row r="135" spans="1:3" ht="15.75">
      <c r="A135" s="14"/>
      <c r="B135" s="15"/>
      <c r="C135" s="16"/>
    </row>
    <row r="136" spans="1:3" ht="15.75">
      <c r="A136" s="14"/>
      <c r="B136" s="15"/>
      <c r="C136" s="16"/>
    </row>
    <row r="137" spans="1:3" ht="15.75">
      <c r="A137" s="14"/>
      <c r="B137" s="15"/>
      <c r="C137" s="16"/>
    </row>
    <row r="138" spans="1:3" ht="15.75">
      <c r="A138" s="14"/>
      <c r="B138" s="15"/>
      <c r="C138" s="16"/>
    </row>
    <row r="139" spans="1:3" ht="15.75">
      <c r="A139" s="14"/>
      <c r="B139" s="15"/>
      <c r="C139" s="16"/>
    </row>
    <row r="140" spans="1:3" ht="15.75">
      <c r="A140" s="14"/>
      <c r="B140" s="15"/>
      <c r="C140" s="16"/>
    </row>
    <row r="141" spans="1:3" ht="15.75">
      <c r="A141" s="14"/>
      <c r="B141" s="15"/>
      <c r="C141" s="16"/>
    </row>
    <row r="142" spans="1:3" ht="15.75">
      <c r="A142" s="14"/>
      <c r="B142" s="15"/>
      <c r="C142" s="16"/>
    </row>
    <row r="143" spans="1:3" ht="15.75">
      <c r="A143" s="14"/>
      <c r="B143" s="15"/>
      <c r="C143" s="16"/>
    </row>
    <row r="144" spans="1:3" ht="15.75">
      <c r="A144" s="14"/>
      <c r="B144" s="15"/>
      <c r="C144" s="16"/>
    </row>
    <row r="145" spans="1:3" ht="15.75">
      <c r="A145" s="14"/>
      <c r="B145" s="15"/>
      <c r="C145" s="16"/>
    </row>
    <row r="146" spans="1:3" ht="15.75">
      <c r="A146" s="14"/>
      <c r="B146" s="15"/>
      <c r="C146" s="16"/>
    </row>
    <row r="147" spans="1:3" ht="15.75">
      <c r="A147" s="14"/>
      <c r="B147" s="15"/>
      <c r="C147" s="16"/>
    </row>
    <row r="148" spans="1:3" ht="15.75">
      <c r="A148" s="14"/>
      <c r="B148" s="15"/>
      <c r="C148" s="16"/>
    </row>
    <row r="149" spans="1:3" ht="15.75">
      <c r="A149" s="14"/>
      <c r="B149" s="15"/>
      <c r="C149" s="16"/>
    </row>
    <row r="150" spans="1:3" ht="15.75">
      <c r="A150" s="14"/>
      <c r="B150" s="15"/>
      <c r="C150" s="16"/>
    </row>
    <row r="151" spans="1:3" ht="15.75">
      <c r="A151" s="14"/>
      <c r="B151" s="15"/>
      <c r="C151" s="16"/>
    </row>
    <row r="152" spans="1:3" ht="15.75">
      <c r="A152" s="14"/>
      <c r="B152" s="15"/>
      <c r="C152" s="16"/>
    </row>
    <row r="153" spans="1:3" ht="15.75">
      <c r="A153" s="14"/>
      <c r="B153" s="15"/>
      <c r="C153" s="16"/>
    </row>
    <row r="154" spans="1:3" ht="15.75">
      <c r="A154" s="14"/>
      <c r="B154" s="15"/>
      <c r="C154" s="16"/>
    </row>
    <row r="155" spans="1:3" ht="15.75">
      <c r="A155" s="14"/>
      <c r="B155" s="15"/>
      <c r="C155" s="16"/>
    </row>
    <row r="156" spans="1:3" ht="15.75">
      <c r="A156" s="14"/>
      <c r="B156" s="15"/>
      <c r="C156" s="16"/>
    </row>
    <row r="157" spans="1:3" ht="15.75">
      <c r="A157" s="14"/>
      <c r="B157" s="15"/>
      <c r="C157" s="16"/>
    </row>
    <row r="158" spans="1:3" ht="15.75">
      <c r="A158" s="14"/>
      <c r="B158" s="15"/>
      <c r="C158" s="16"/>
    </row>
    <row r="159" spans="1:3" ht="15.75">
      <c r="A159" s="14"/>
      <c r="B159" s="15"/>
      <c r="C159" s="16"/>
    </row>
    <row r="160" spans="1:3" ht="15.75">
      <c r="A160" s="14"/>
      <c r="B160" s="15"/>
      <c r="C160" s="16"/>
    </row>
    <row r="161" spans="1:3" ht="15.75">
      <c r="A161" s="14"/>
      <c r="B161" s="15"/>
      <c r="C161" s="16"/>
    </row>
    <row r="162" spans="1:3" ht="15.75">
      <c r="A162" s="14"/>
      <c r="B162" s="15"/>
      <c r="C162" s="16"/>
    </row>
    <row r="163" spans="1:3" ht="15.75">
      <c r="A163" s="14"/>
      <c r="B163" s="15"/>
      <c r="C163" s="16"/>
    </row>
    <row r="164" spans="1:3" ht="15.75">
      <c r="A164" s="14"/>
      <c r="B164" s="15"/>
      <c r="C164" s="16"/>
    </row>
    <row r="165" spans="1:3" ht="15.75">
      <c r="A165" s="14"/>
      <c r="B165" s="15"/>
      <c r="C165" s="16"/>
    </row>
    <row r="166" spans="1:3" ht="15.75">
      <c r="A166" s="14"/>
      <c r="B166" s="15"/>
      <c r="C166" s="16"/>
    </row>
    <row r="167" spans="1:3" ht="15.75">
      <c r="A167" s="14"/>
      <c r="B167" s="15"/>
      <c r="C167" s="16"/>
    </row>
    <row r="168" spans="1:3" ht="15.75">
      <c r="A168" s="14"/>
      <c r="B168" s="15"/>
      <c r="C168" s="16"/>
    </row>
    <row r="169" spans="1:3" ht="15.75">
      <c r="A169" s="14"/>
      <c r="B169" s="15"/>
      <c r="C169" s="16"/>
    </row>
    <row r="170" spans="1:3" ht="15.75">
      <c r="A170" s="14"/>
      <c r="B170" s="15"/>
      <c r="C170" s="16"/>
    </row>
    <row r="171" spans="1:3" ht="15.75">
      <c r="A171" s="14"/>
      <c r="B171" s="15"/>
      <c r="C171" s="16"/>
    </row>
    <row r="172" spans="1:3" ht="15.75">
      <c r="A172" s="14"/>
      <c r="B172" s="15"/>
      <c r="C172" s="16"/>
    </row>
    <row r="173" spans="1:3" ht="15.75">
      <c r="A173" s="14"/>
      <c r="B173" s="15"/>
      <c r="C173" s="16"/>
    </row>
    <row r="174" spans="1:3" ht="15.75">
      <c r="A174" s="14"/>
      <c r="B174" s="15"/>
      <c r="C174" s="16"/>
    </row>
    <row r="175" spans="1:3" ht="15.75">
      <c r="A175" s="14"/>
      <c r="B175" s="15"/>
      <c r="C175" s="16"/>
    </row>
    <row r="176" spans="1:3" ht="15.75">
      <c r="A176" s="14"/>
      <c r="B176" s="15"/>
      <c r="C176" s="16"/>
    </row>
    <row r="177" spans="1:3" ht="15.75">
      <c r="A177" s="14"/>
      <c r="B177" s="15"/>
      <c r="C177" s="16"/>
    </row>
    <row r="178" spans="1:3" ht="15.75">
      <c r="A178" s="14"/>
      <c r="B178" s="15"/>
      <c r="C178" s="16"/>
    </row>
    <row r="179" spans="1:3" ht="15.75">
      <c r="A179" s="14"/>
      <c r="B179" s="15"/>
      <c r="C179" s="16"/>
    </row>
    <row r="180" spans="1:3" ht="15.75">
      <c r="A180" s="14"/>
      <c r="B180" s="15"/>
      <c r="C180" s="16"/>
    </row>
    <row r="181" spans="1:3" ht="15.75">
      <c r="A181" s="14"/>
      <c r="B181" s="15"/>
      <c r="C181" s="16"/>
    </row>
    <row r="182" spans="1:3" ht="15.75">
      <c r="A182" s="14"/>
      <c r="B182" s="15"/>
      <c r="C182" s="16"/>
    </row>
    <row r="183" spans="1:3" ht="15.75">
      <c r="A183" s="14"/>
      <c r="B183" s="15"/>
      <c r="C183" s="16"/>
    </row>
    <row r="184" spans="1:3" ht="15.75">
      <c r="A184" s="14"/>
      <c r="B184" s="15"/>
      <c r="C184" s="16"/>
    </row>
  </sheetData>
  <mergeCells count="20">
    <mergeCell ref="A2:N2"/>
    <mergeCell ref="A1:N1"/>
    <mergeCell ref="A80:H80"/>
    <mergeCell ref="B67:H67"/>
    <mergeCell ref="C71:H71"/>
    <mergeCell ref="C72:H72"/>
    <mergeCell ref="D12:N12"/>
    <mergeCell ref="A10:N10"/>
    <mergeCell ref="A9:N9"/>
    <mergeCell ref="A8:N8"/>
    <mergeCell ref="A12:A15"/>
    <mergeCell ref="A3:N3"/>
    <mergeCell ref="B64:H64"/>
    <mergeCell ref="B65:H65"/>
    <mergeCell ref="C12:C15"/>
    <mergeCell ref="B12:B15"/>
    <mergeCell ref="A7:N7"/>
    <mergeCell ref="A6:N6"/>
    <mergeCell ref="A5:N5"/>
    <mergeCell ref="A4:N4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65" r:id="rId1"/>
  <rowBreaks count="1" manualBreakCount="1">
    <brk id="3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167"/>
  <sheetViews>
    <sheetView view="pageBreakPreview" zoomScale="75" zoomScaleNormal="75" zoomScaleSheetLayoutView="75" workbookViewId="0" topLeftCell="A1">
      <selection activeCell="B24" sqref="B24"/>
    </sheetView>
  </sheetViews>
  <sheetFormatPr defaultColWidth="9.00390625" defaultRowHeight="12.75"/>
  <cols>
    <col min="1" max="1" width="4.00390625" style="17" bestFit="1" customWidth="1"/>
    <col min="2" max="2" width="48.75390625" style="5" bestFit="1" customWidth="1"/>
    <col min="3" max="3" width="9.375" style="1" bestFit="1" customWidth="1"/>
    <col min="4" max="4" width="14.25390625" style="1" hidden="1" customWidth="1"/>
    <col min="5" max="11" width="14.25390625" style="1" customWidth="1"/>
    <col min="12" max="16384" width="14.25390625" style="5" customWidth="1"/>
  </cols>
  <sheetData>
    <row r="2" spans="1:11" s="29" customFormat="1" ht="23.25" thickBot="1">
      <c r="A2" s="120" t="s">
        <v>147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7" customFormat="1" ht="17.25" customHeight="1">
      <c r="A3" s="102"/>
      <c r="B3" s="110" t="s">
        <v>0</v>
      </c>
      <c r="C3" s="107" t="s">
        <v>63</v>
      </c>
      <c r="D3" s="110" t="s">
        <v>1</v>
      </c>
      <c r="E3" s="110"/>
      <c r="F3" s="110"/>
      <c r="G3" s="110"/>
      <c r="H3" s="110"/>
      <c r="I3" s="110"/>
      <c r="J3" s="110"/>
      <c r="K3" s="122"/>
    </row>
    <row r="4" spans="1:12" s="17" customFormat="1" ht="15.75">
      <c r="A4" s="104"/>
      <c r="B4" s="109"/>
      <c r="C4" s="109"/>
      <c r="D4" s="25">
        <v>2001</v>
      </c>
      <c r="E4" s="25">
        <v>2002</v>
      </c>
      <c r="F4" s="25">
        <v>2003</v>
      </c>
      <c r="G4" s="25">
        <v>2004</v>
      </c>
      <c r="H4" s="25">
        <v>2005</v>
      </c>
      <c r="I4" s="25">
        <v>2006</v>
      </c>
      <c r="J4" s="25">
        <v>2007</v>
      </c>
      <c r="K4" s="26">
        <v>2008</v>
      </c>
      <c r="L4" s="17" t="s">
        <v>56</v>
      </c>
    </row>
    <row r="5" spans="1:11" s="17" customFormat="1" ht="15.75">
      <c r="A5" s="104"/>
      <c r="B5" s="109"/>
      <c r="C5" s="109"/>
      <c r="D5" s="25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6</v>
      </c>
      <c r="J5" s="25" t="s">
        <v>6</v>
      </c>
      <c r="K5" s="26" t="s">
        <v>6</v>
      </c>
    </row>
    <row r="6" spans="1:12" ht="30" customHeight="1">
      <c r="A6" s="2">
        <v>1</v>
      </c>
      <c r="B6" s="3" t="s">
        <v>108</v>
      </c>
      <c r="C6" s="34" t="s">
        <v>128</v>
      </c>
      <c r="D6" s="18"/>
      <c r="E6" s="18">
        <f aca="true" t="shared" si="0" ref="E6:K6">SUM(E7:E8)</f>
        <v>5645578</v>
      </c>
      <c r="F6" s="18">
        <f t="shared" si="0"/>
        <v>6000000</v>
      </c>
      <c r="G6" s="18">
        <f t="shared" si="0"/>
        <v>6200000</v>
      </c>
      <c r="H6" s="18">
        <f t="shared" si="0"/>
        <v>7500000</v>
      </c>
      <c r="I6" s="18">
        <f t="shared" si="0"/>
        <v>7000000</v>
      </c>
      <c r="J6" s="18">
        <f t="shared" si="0"/>
        <v>7000000</v>
      </c>
      <c r="K6" s="19">
        <f t="shared" si="0"/>
        <v>7200000</v>
      </c>
      <c r="L6" s="4">
        <f>H6/G6*100</f>
        <v>120.96774193548387</v>
      </c>
    </row>
    <row r="7" spans="1:12" ht="19.5" customHeight="1">
      <c r="A7" s="2"/>
      <c r="B7" s="6" t="s">
        <v>117</v>
      </c>
      <c r="C7" s="34" t="s">
        <v>129</v>
      </c>
      <c r="D7" s="18"/>
      <c r="E7" s="18">
        <v>2800000</v>
      </c>
      <c r="F7" s="18">
        <v>2000000</v>
      </c>
      <c r="G7" s="18">
        <v>2000000</v>
      </c>
      <c r="H7" s="18">
        <v>2500000</v>
      </c>
      <c r="I7" s="18">
        <v>2000000</v>
      </c>
      <c r="J7" s="18">
        <v>1500000</v>
      </c>
      <c r="K7" s="19">
        <v>1500000</v>
      </c>
      <c r="L7" s="4">
        <f aca="true" t="shared" si="1" ref="L7:L37">H7/G7*100</f>
        <v>125</v>
      </c>
    </row>
    <row r="8" spans="1:12" ht="19.5" customHeight="1">
      <c r="A8" s="2"/>
      <c r="B8" s="6" t="s">
        <v>11</v>
      </c>
      <c r="C8" s="34" t="s">
        <v>130</v>
      </c>
      <c r="D8" s="18"/>
      <c r="E8" s="18">
        <f>250000+80000+30000+10000+10000+234000+550000+24000+29400+1300000+184014+21455+83109+39600</f>
        <v>2845578</v>
      </c>
      <c r="F8" s="18">
        <v>4000000</v>
      </c>
      <c r="G8" s="18">
        <v>4200000</v>
      </c>
      <c r="H8" s="18">
        <v>5000000</v>
      </c>
      <c r="I8" s="18">
        <v>5000000</v>
      </c>
      <c r="J8" s="18">
        <v>5500000</v>
      </c>
      <c r="K8" s="19">
        <v>5700000</v>
      </c>
      <c r="L8" s="4">
        <f t="shared" si="1"/>
        <v>119.04761904761905</v>
      </c>
    </row>
    <row r="9" spans="1:12" ht="47.25">
      <c r="A9" s="2" t="s">
        <v>12</v>
      </c>
      <c r="B9" s="3" t="s">
        <v>109</v>
      </c>
      <c r="C9" s="34" t="s">
        <v>131</v>
      </c>
      <c r="D9" s="18"/>
      <c r="E9" s="18">
        <f aca="true" t="shared" si="2" ref="E9:K9">SUM(E10:E11)</f>
        <v>18242427</v>
      </c>
      <c r="F9" s="18">
        <f t="shared" si="2"/>
        <v>19600000</v>
      </c>
      <c r="G9" s="18">
        <f t="shared" si="2"/>
        <v>21000000</v>
      </c>
      <c r="H9" s="18">
        <f t="shared" si="2"/>
        <v>21700000</v>
      </c>
      <c r="I9" s="18">
        <f t="shared" si="2"/>
        <v>22500000</v>
      </c>
      <c r="J9" s="18">
        <f t="shared" si="2"/>
        <v>23200000</v>
      </c>
      <c r="K9" s="19">
        <f t="shared" si="2"/>
        <v>23700000</v>
      </c>
      <c r="L9" s="4">
        <f t="shared" si="1"/>
        <v>103.33333333333334</v>
      </c>
    </row>
    <row r="10" spans="1:12" ht="47.25">
      <c r="A10" s="2"/>
      <c r="B10" s="3" t="s">
        <v>67</v>
      </c>
      <c r="C10" s="34" t="s">
        <v>132</v>
      </c>
      <c r="D10" s="18"/>
      <c r="E10" s="18">
        <v>2000000</v>
      </c>
      <c r="F10" s="18">
        <v>2500000</v>
      </c>
      <c r="G10" s="18">
        <v>3000000</v>
      </c>
      <c r="H10" s="18">
        <v>3500000</v>
      </c>
      <c r="I10" s="18">
        <v>3500000</v>
      </c>
      <c r="J10" s="18">
        <v>3700000</v>
      </c>
      <c r="K10" s="19">
        <v>3700000</v>
      </c>
      <c r="L10" s="4">
        <f t="shared" si="1"/>
        <v>116.66666666666667</v>
      </c>
    </row>
    <row r="11" spans="1:12" ht="19.5" customHeight="1">
      <c r="A11" s="2"/>
      <c r="B11" s="6" t="s">
        <v>13</v>
      </c>
      <c r="C11" s="34" t="s">
        <v>133</v>
      </c>
      <c r="D11" s="18"/>
      <c r="E11" s="18">
        <v>16242427</v>
      </c>
      <c r="F11" s="18">
        <v>17100000</v>
      </c>
      <c r="G11" s="18">
        <v>18000000</v>
      </c>
      <c r="H11" s="18">
        <v>18200000</v>
      </c>
      <c r="I11" s="18">
        <v>19000000</v>
      </c>
      <c r="J11" s="18">
        <v>19500000</v>
      </c>
      <c r="K11" s="19">
        <v>20000000</v>
      </c>
      <c r="L11" s="4">
        <f t="shared" si="1"/>
        <v>101.11111111111111</v>
      </c>
    </row>
    <row r="12" spans="1:12" ht="19.5" customHeight="1">
      <c r="A12" s="2" t="s">
        <v>24</v>
      </c>
      <c r="B12" s="6" t="s">
        <v>110</v>
      </c>
      <c r="C12" s="34" t="s">
        <v>134</v>
      </c>
      <c r="D12" s="18"/>
      <c r="E12" s="18">
        <f aca="true" t="shared" si="3" ref="E12:K12">SUM(E6,E9)</f>
        <v>23888005</v>
      </c>
      <c r="F12" s="18">
        <f t="shared" si="3"/>
        <v>25600000</v>
      </c>
      <c r="G12" s="18">
        <f t="shared" si="3"/>
        <v>27200000</v>
      </c>
      <c r="H12" s="18">
        <f t="shared" si="3"/>
        <v>29200000</v>
      </c>
      <c r="I12" s="18">
        <f t="shared" si="3"/>
        <v>29500000</v>
      </c>
      <c r="J12" s="18">
        <f t="shared" si="3"/>
        <v>30200000</v>
      </c>
      <c r="K12" s="19">
        <f t="shared" si="3"/>
        <v>30900000</v>
      </c>
      <c r="L12" s="4">
        <f t="shared" si="1"/>
        <v>107.35294117647058</v>
      </c>
    </row>
    <row r="13" spans="1:12" ht="19.5" customHeight="1">
      <c r="A13" s="2" t="s">
        <v>27</v>
      </c>
      <c r="B13" s="6" t="s">
        <v>111</v>
      </c>
      <c r="C13" s="34" t="s">
        <v>135</v>
      </c>
      <c r="D13" s="18"/>
      <c r="E13" s="18">
        <f aca="true" t="shared" si="4" ref="E13:K13">SUM(E14:E16)</f>
        <v>98680696</v>
      </c>
      <c r="F13" s="18">
        <f t="shared" si="4"/>
        <v>99000000</v>
      </c>
      <c r="G13" s="18">
        <f t="shared" si="4"/>
        <v>102500000</v>
      </c>
      <c r="H13" s="18">
        <f t="shared" si="4"/>
        <v>105000000</v>
      </c>
      <c r="I13" s="18">
        <f t="shared" si="4"/>
        <v>107800000</v>
      </c>
      <c r="J13" s="18">
        <f t="shared" si="4"/>
        <v>110000000</v>
      </c>
      <c r="K13" s="19">
        <f t="shared" si="4"/>
        <v>113000000</v>
      </c>
      <c r="L13" s="4">
        <f t="shared" si="1"/>
        <v>102.4390243902439</v>
      </c>
    </row>
    <row r="14" spans="1:12" ht="19.5" customHeight="1">
      <c r="A14" s="2"/>
      <c r="B14" s="6" t="s">
        <v>29</v>
      </c>
      <c r="C14" s="34" t="s">
        <v>136</v>
      </c>
      <c r="D14" s="18"/>
      <c r="E14" s="18">
        <v>45813258</v>
      </c>
      <c r="F14" s="18">
        <v>44000000</v>
      </c>
      <c r="G14" s="18">
        <v>46000000</v>
      </c>
      <c r="H14" s="18">
        <v>47500000</v>
      </c>
      <c r="I14" s="18">
        <v>49000000</v>
      </c>
      <c r="J14" s="18">
        <v>50200000</v>
      </c>
      <c r="K14" s="19">
        <v>52000000</v>
      </c>
      <c r="L14" s="4">
        <f t="shared" si="1"/>
        <v>103.26086956521738</v>
      </c>
    </row>
    <row r="15" spans="1:12" ht="19.5" customHeight="1">
      <c r="A15" s="2"/>
      <c r="B15" s="6" t="s">
        <v>106</v>
      </c>
      <c r="C15" s="34" t="s">
        <v>14</v>
      </c>
      <c r="D15" s="18"/>
      <c r="E15" s="18">
        <v>30906256</v>
      </c>
      <c r="F15" s="18">
        <v>33000000</v>
      </c>
      <c r="G15" s="18">
        <v>33500000</v>
      </c>
      <c r="H15" s="18">
        <v>34000000</v>
      </c>
      <c r="I15" s="18">
        <v>34800000</v>
      </c>
      <c r="J15" s="18">
        <v>35300000</v>
      </c>
      <c r="K15" s="19">
        <v>36000000</v>
      </c>
      <c r="L15" s="4">
        <f t="shared" si="1"/>
        <v>101.49253731343283</v>
      </c>
    </row>
    <row r="16" spans="1:12" ht="19.5" customHeight="1">
      <c r="A16" s="2"/>
      <c r="B16" s="6" t="s">
        <v>30</v>
      </c>
      <c r="C16" s="34" t="s">
        <v>15</v>
      </c>
      <c r="D16" s="18"/>
      <c r="E16" s="18">
        <v>21961182</v>
      </c>
      <c r="F16" s="18">
        <v>22000000</v>
      </c>
      <c r="G16" s="18">
        <v>23000000</v>
      </c>
      <c r="H16" s="18">
        <v>23500000</v>
      </c>
      <c r="I16" s="18">
        <v>24000000</v>
      </c>
      <c r="J16" s="18">
        <v>24500000</v>
      </c>
      <c r="K16" s="19">
        <v>25000000</v>
      </c>
      <c r="L16" s="4">
        <f t="shared" si="1"/>
        <v>102.17391304347827</v>
      </c>
    </row>
    <row r="17" spans="1:12" ht="19.5" customHeight="1">
      <c r="A17" s="2" t="s">
        <v>31</v>
      </c>
      <c r="B17" s="6" t="s">
        <v>112</v>
      </c>
      <c r="C17" s="34" t="s">
        <v>16</v>
      </c>
      <c r="D17" s="18"/>
      <c r="E17" s="18">
        <f aca="true" t="shared" si="5" ref="E17:K17">SUM(E12:E13)</f>
        <v>122568701</v>
      </c>
      <c r="F17" s="18">
        <f t="shared" si="5"/>
        <v>124600000</v>
      </c>
      <c r="G17" s="18">
        <f t="shared" si="5"/>
        <v>129700000</v>
      </c>
      <c r="H17" s="18">
        <f t="shared" si="5"/>
        <v>134200000</v>
      </c>
      <c r="I17" s="18">
        <f t="shared" si="5"/>
        <v>137300000</v>
      </c>
      <c r="J17" s="18">
        <f t="shared" si="5"/>
        <v>140200000</v>
      </c>
      <c r="K17" s="19">
        <f t="shared" si="5"/>
        <v>143900000</v>
      </c>
      <c r="L17" s="4">
        <f t="shared" si="1"/>
        <v>103.46954510408635</v>
      </c>
    </row>
    <row r="18" spans="1:12" ht="19.5" customHeight="1">
      <c r="A18" s="2" t="s">
        <v>32</v>
      </c>
      <c r="B18" s="6" t="s">
        <v>113</v>
      </c>
      <c r="C18" s="34" t="s">
        <v>17</v>
      </c>
      <c r="D18" s="18"/>
      <c r="E18" s="18">
        <f aca="true" t="shared" si="6" ref="E18:K18">SUM(E19:E22)</f>
        <v>133492263</v>
      </c>
      <c r="F18" s="18">
        <f t="shared" si="6"/>
        <v>132404608</v>
      </c>
      <c r="G18" s="18">
        <f t="shared" si="6"/>
        <v>133300000</v>
      </c>
      <c r="H18" s="18">
        <f t="shared" si="6"/>
        <v>140000000</v>
      </c>
      <c r="I18" s="18">
        <f t="shared" si="6"/>
        <v>142600000</v>
      </c>
      <c r="J18" s="18">
        <f t="shared" si="6"/>
        <v>144000000</v>
      </c>
      <c r="K18" s="19">
        <f t="shared" si="6"/>
        <v>146200000</v>
      </c>
      <c r="L18" s="4">
        <f t="shared" si="1"/>
        <v>105.02625656414104</v>
      </c>
    </row>
    <row r="19" spans="1:12" ht="19.5" customHeight="1">
      <c r="A19" s="2"/>
      <c r="B19" s="3" t="s">
        <v>57</v>
      </c>
      <c r="C19" s="34" t="s">
        <v>18</v>
      </c>
      <c r="D19" s="18"/>
      <c r="E19" s="18">
        <f>5128000+9200000+9627150+6556700+36839000+203000+22000+469600+1984+6244180</f>
        <v>74291614</v>
      </c>
      <c r="F19" s="18">
        <v>81400000</v>
      </c>
      <c r="G19" s="18">
        <v>82000000</v>
      </c>
      <c r="H19" s="18">
        <v>84900000</v>
      </c>
      <c r="I19" s="18">
        <v>85000000</v>
      </c>
      <c r="J19" s="18">
        <v>85200000</v>
      </c>
      <c r="K19" s="19">
        <v>85500000</v>
      </c>
      <c r="L19" s="4">
        <f t="shared" si="1"/>
        <v>103.53658536585367</v>
      </c>
    </row>
    <row r="20" spans="1:12" ht="19.5" customHeight="1">
      <c r="A20" s="2"/>
      <c r="B20" s="6" t="s">
        <v>35</v>
      </c>
      <c r="C20" s="34" t="s">
        <v>19</v>
      </c>
      <c r="D20" s="18"/>
      <c r="E20" s="18">
        <f>2372000+13926116+12402000+1378000+45000+1185090+600000+200000+203000+1004000+200000+13875000+55660+2600000+116881+7605+221880+316866+234254+19062+91764+196718+687922+467000</f>
        <v>52405818</v>
      </c>
      <c r="F20" s="18">
        <v>44100000</v>
      </c>
      <c r="G20" s="18">
        <v>44000000</v>
      </c>
      <c r="H20" s="18">
        <v>46000000</v>
      </c>
      <c r="I20" s="18">
        <v>48000000</v>
      </c>
      <c r="J20" s="18">
        <v>48800000</v>
      </c>
      <c r="K20" s="19">
        <v>50000000</v>
      </c>
      <c r="L20" s="4">
        <f t="shared" si="1"/>
        <v>104.54545454545455</v>
      </c>
    </row>
    <row r="21" spans="1:12" ht="68.25" customHeight="1">
      <c r="A21" s="2"/>
      <c r="B21" s="3" t="s">
        <v>58</v>
      </c>
      <c r="C21" s="34" t="s">
        <v>20</v>
      </c>
      <c r="D21" s="18"/>
      <c r="E21" s="18">
        <f>15000+117000+1171988+45000+4000+62960+1192970+50750+20000</f>
        <v>2679668</v>
      </c>
      <c r="F21" s="18">
        <v>2054608</v>
      </c>
      <c r="G21" s="18">
        <v>2200000</v>
      </c>
      <c r="H21" s="18">
        <v>2600000</v>
      </c>
      <c r="I21" s="18">
        <v>2800000</v>
      </c>
      <c r="J21" s="18">
        <v>3000000</v>
      </c>
      <c r="K21" s="19">
        <v>3200000</v>
      </c>
      <c r="L21" s="4">
        <f t="shared" si="1"/>
        <v>118.18181818181819</v>
      </c>
    </row>
    <row r="22" spans="1:12" ht="19.5" customHeight="1">
      <c r="A22" s="2"/>
      <c r="B22" s="6" t="s">
        <v>36</v>
      </c>
      <c r="C22" s="34" t="s">
        <v>21</v>
      </c>
      <c r="D22" s="18"/>
      <c r="E22" s="18">
        <f>112000+1475664+72000+210000+1925499+100000+220000</f>
        <v>4115163</v>
      </c>
      <c r="F22" s="18">
        <v>4850000</v>
      </c>
      <c r="G22" s="18">
        <v>5100000</v>
      </c>
      <c r="H22" s="18">
        <v>6500000</v>
      </c>
      <c r="I22" s="18">
        <v>6800000</v>
      </c>
      <c r="J22" s="18">
        <v>7000000</v>
      </c>
      <c r="K22" s="19">
        <v>7500000</v>
      </c>
      <c r="L22" s="4">
        <f t="shared" si="1"/>
        <v>127.45098039215685</v>
      </c>
    </row>
    <row r="23" spans="1:12" s="8" customFormat="1" ht="19.5" customHeight="1">
      <c r="A23" s="2" t="s">
        <v>37</v>
      </c>
      <c r="B23" s="7" t="s">
        <v>114</v>
      </c>
      <c r="C23" s="34" t="s">
        <v>22</v>
      </c>
      <c r="D23" s="20"/>
      <c r="E23" s="20">
        <f aca="true" t="shared" si="7" ref="E23:K23">SUM(E17:E18)</f>
        <v>256060964</v>
      </c>
      <c r="F23" s="20">
        <f t="shared" si="7"/>
        <v>257004608</v>
      </c>
      <c r="G23" s="20">
        <f t="shared" si="7"/>
        <v>263000000</v>
      </c>
      <c r="H23" s="20">
        <f t="shared" si="7"/>
        <v>274200000</v>
      </c>
      <c r="I23" s="20">
        <f t="shared" si="7"/>
        <v>279900000</v>
      </c>
      <c r="J23" s="20">
        <f t="shared" si="7"/>
        <v>284200000</v>
      </c>
      <c r="K23" s="27">
        <f t="shared" si="7"/>
        <v>290100000</v>
      </c>
      <c r="L23" s="4">
        <f t="shared" si="1"/>
        <v>104.25855513307984</v>
      </c>
    </row>
    <row r="24" spans="1:12" ht="19.5" customHeight="1">
      <c r="A24" s="2" t="s">
        <v>39</v>
      </c>
      <c r="B24" s="6" t="s">
        <v>115</v>
      </c>
      <c r="C24" s="34" t="s">
        <v>23</v>
      </c>
      <c r="D24" s="18"/>
      <c r="E24" s="18">
        <f aca="true" t="shared" si="8" ref="E24:K24">SUM(E25:E27)</f>
        <v>213763829</v>
      </c>
      <c r="F24" s="18">
        <f t="shared" si="8"/>
        <v>198333341</v>
      </c>
      <c r="G24" s="18">
        <f t="shared" si="8"/>
        <v>200975000</v>
      </c>
      <c r="H24" s="18">
        <f t="shared" si="8"/>
        <v>208850000</v>
      </c>
      <c r="I24" s="18">
        <f t="shared" si="8"/>
        <v>214576000</v>
      </c>
      <c r="J24" s="18">
        <f t="shared" si="8"/>
        <v>219368000</v>
      </c>
      <c r="K24" s="19">
        <f t="shared" si="8"/>
        <v>225213000</v>
      </c>
      <c r="L24" s="4">
        <f t="shared" si="1"/>
        <v>103.91839781067299</v>
      </c>
    </row>
    <row r="25" spans="1:12" ht="19.5" customHeight="1">
      <c r="A25" s="2"/>
      <c r="B25" s="6" t="s">
        <v>41</v>
      </c>
      <c r="C25" s="34" t="s">
        <v>80</v>
      </c>
      <c r="D25" s="18"/>
      <c r="E25" s="18">
        <v>53808364</v>
      </c>
      <c r="F25" s="18">
        <v>54500000</v>
      </c>
      <c r="G25" s="18">
        <v>55500000</v>
      </c>
      <c r="H25" s="18">
        <v>56500000</v>
      </c>
      <c r="I25" s="18">
        <v>57500000</v>
      </c>
      <c r="J25" s="18">
        <v>58500000</v>
      </c>
      <c r="K25" s="19">
        <v>60000000</v>
      </c>
      <c r="L25" s="4">
        <f t="shared" si="1"/>
        <v>101.8018018018018</v>
      </c>
    </row>
    <row r="26" spans="1:12" ht="19.5" customHeight="1">
      <c r="A26" s="2"/>
      <c r="B26" s="6" t="s">
        <v>116</v>
      </c>
      <c r="C26" s="34" t="s">
        <v>81</v>
      </c>
      <c r="D26" s="18"/>
      <c r="E26" s="18">
        <v>504277</v>
      </c>
      <c r="F26" s="18">
        <v>1295000</v>
      </c>
      <c r="G26" s="18">
        <v>895000</v>
      </c>
      <c r="H26" s="18">
        <v>683000</v>
      </c>
      <c r="I26" s="18">
        <v>461000</v>
      </c>
      <c r="J26" s="18">
        <v>263000</v>
      </c>
      <c r="K26" s="19">
        <v>115000</v>
      </c>
      <c r="L26" s="4">
        <f t="shared" si="1"/>
        <v>76.31284916201118</v>
      </c>
    </row>
    <row r="27" spans="1:12" ht="19.5" customHeight="1">
      <c r="A27" s="2"/>
      <c r="B27" s="6" t="s">
        <v>43</v>
      </c>
      <c r="C27" s="34" t="s">
        <v>82</v>
      </c>
      <c r="D27" s="18"/>
      <c r="E27" s="18">
        <v>159451188</v>
      </c>
      <c r="F27" s="18">
        <v>142538341</v>
      </c>
      <c r="G27" s="18">
        <v>144580000</v>
      </c>
      <c r="H27" s="18">
        <v>151667000</v>
      </c>
      <c r="I27" s="18">
        <v>156615000</v>
      </c>
      <c r="J27" s="18">
        <v>160605000</v>
      </c>
      <c r="K27" s="19">
        <v>165098000</v>
      </c>
      <c r="L27" s="4">
        <f t="shared" si="1"/>
        <v>104.90178447918109</v>
      </c>
    </row>
    <row r="28" spans="1:12" ht="19.5" customHeight="1">
      <c r="A28" s="2" t="s">
        <v>44</v>
      </c>
      <c r="B28" s="6" t="s">
        <v>142</v>
      </c>
      <c r="C28" s="34" t="s">
        <v>83</v>
      </c>
      <c r="D28" s="18"/>
      <c r="E28" s="18">
        <f>SUM(E29:E30)</f>
        <v>46457000</v>
      </c>
      <c r="F28" s="18">
        <f aca="true" t="shared" si="9" ref="F28:K28">SUM(F29:F30)</f>
        <v>55500000</v>
      </c>
      <c r="G28" s="18">
        <f t="shared" si="9"/>
        <v>58266360</v>
      </c>
      <c r="H28" s="18">
        <f t="shared" si="9"/>
        <v>62433333</v>
      </c>
      <c r="I28" s="18">
        <f t="shared" si="9"/>
        <v>63657333</v>
      </c>
      <c r="J28" s="18">
        <f t="shared" si="9"/>
        <v>63165333</v>
      </c>
      <c r="K28" s="18">
        <f t="shared" si="9"/>
        <v>63220335</v>
      </c>
      <c r="L28" s="4"/>
    </row>
    <row r="29" spans="1:12" ht="19.5" customHeight="1" hidden="1">
      <c r="A29" s="2"/>
      <c r="B29" s="6"/>
      <c r="C29" s="34"/>
      <c r="D29" s="18"/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9">
        <v>0</v>
      </c>
      <c r="L29" s="4"/>
    </row>
    <row r="30" spans="1:12" ht="19.5" customHeight="1" hidden="1">
      <c r="A30" s="2"/>
      <c r="B30" s="6"/>
      <c r="C30" s="34"/>
      <c r="D30" s="18"/>
      <c r="E30" s="18">
        <v>46457000</v>
      </c>
      <c r="F30" s="18">
        <v>55500000</v>
      </c>
      <c r="G30" s="18">
        <v>58266360</v>
      </c>
      <c r="H30" s="18">
        <v>62433333</v>
      </c>
      <c r="I30" s="18">
        <v>63657333</v>
      </c>
      <c r="J30" s="18">
        <v>63165333</v>
      </c>
      <c r="K30" s="19">
        <v>63220335</v>
      </c>
      <c r="L30" s="4"/>
    </row>
    <row r="31" spans="1:12" ht="19.5" customHeight="1">
      <c r="A31" s="2" t="s">
        <v>14</v>
      </c>
      <c r="B31" s="30" t="s">
        <v>143</v>
      </c>
      <c r="C31" s="34" t="s">
        <v>84</v>
      </c>
      <c r="D31" s="18"/>
      <c r="E31" s="18">
        <f>E23-E24-E28</f>
        <v>-4159865</v>
      </c>
      <c r="F31" s="18">
        <f aca="true" t="shared" si="10" ref="F31:K31">F23-F24-F28</f>
        <v>3171267</v>
      </c>
      <c r="G31" s="18">
        <f t="shared" si="10"/>
        <v>3758640</v>
      </c>
      <c r="H31" s="18">
        <f t="shared" si="10"/>
        <v>2916667</v>
      </c>
      <c r="I31" s="18">
        <f t="shared" si="10"/>
        <v>1666667</v>
      </c>
      <c r="J31" s="18">
        <f t="shared" si="10"/>
        <v>1666667</v>
      </c>
      <c r="K31" s="18">
        <f t="shared" si="10"/>
        <v>1666665</v>
      </c>
      <c r="L31" s="4">
        <f t="shared" si="1"/>
        <v>77.59899857395229</v>
      </c>
    </row>
    <row r="32" spans="1:12" ht="15.75">
      <c r="A32" s="2" t="s">
        <v>15</v>
      </c>
      <c r="B32" s="3" t="s">
        <v>146</v>
      </c>
      <c r="C32" s="34" t="s">
        <v>85</v>
      </c>
      <c r="D32" s="18"/>
      <c r="E32" s="18">
        <f>SUM(E33:E35)</f>
        <v>1653427</v>
      </c>
      <c r="F32" s="18">
        <f aca="true" t="shared" si="11" ref="F32:K32">SUM(F33:F35)</f>
        <v>4171267</v>
      </c>
      <c r="G32" s="18">
        <f t="shared" si="11"/>
        <v>3758640</v>
      </c>
      <c r="H32" s="18">
        <f t="shared" si="11"/>
        <v>2916667</v>
      </c>
      <c r="I32" s="18">
        <f t="shared" si="11"/>
        <v>1666667</v>
      </c>
      <c r="J32" s="18">
        <f t="shared" si="11"/>
        <v>1666667</v>
      </c>
      <c r="K32" s="18">
        <f t="shared" si="11"/>
        <v>1666665</v>
      </c>
      <c r="L32" s="4">
        <f t="shared" si="1"/>
        <v>77.59899857395229</v>
      </c>
    </row>
    <row r="33" spans="1:12" ht="15.75">
      <c r="A33" s="2"/>
      <c r="B33" s="3" t="s">
        <v>122</v>
      </c>
      <c r="C33" s="34" t="s">
        <v>86</v>
      </c>
      <c r="D33" s="18"/>
      <c r="E33" s="18">
        <v>1250000</v>
      </c>
      <c r="F33" s="18">
        <v>1250000</v>
      </c>
      <c r="G33" s="18">
        <v>1250000</v>
      </c>
      <c r="H33" s="18">
        <v>1250000</v>
      </c>
      <c r="I33" s="18"/>
      <c r="J33" s="18"/>
      <c r="K33" s="19"/>
      <c r="L33" s="4"/>
    </row>
    <row r="34" spans="1:12" ht="15.75">
      <c r="A34" s="2"/>
      <c r="B34" s="3" t="s">
        <v>123</v>
      </c>
      <c r="C34" s="34" t="s">
        <v>87</v>
      </c>
      <c r="D34" s="18"/>
      <c r="E34" s="18" t="s">
        <v>148</v>
      </c>
      <c r="F34" s="18">
        <v>1666667</v>
      </c>
      <c r="G34" s="18">
        <v>1666667</v>
      </c>
      <c r="H34" s="18">
        <v>1666667</v>
      </c>
      <c r="I34" s="18">
        <v>1666667</v>
      </c>
      <c r="J34" s="18">
        <v>1666667</v>
      </c>
      <c r="K34" s="18">
        <v>1666665</v>
      </c>
      <c r="L34" s="4"/>
    </row>
    <row r="35" spans="1:12" ht="15.75">
      <c r="A35" s="2"/>
      <c r="B35" s="3" t="s">
        <v>124</v>
      </c>
      <c r="C35" s="34" t="s">
        <v>88</v>
      </c>
      <c r="D35" s="18"/>
      <c r="E35" s="18">
        <v>403427</v>
      </c>
      <c r="F35" s="18">
        <v>1254600</v>
      </c>
      <c r="G35" s="18">
        <v>841973</v>
      </c>
      <c r="H35" s="18"/>
      <c r="I35" s="18"/>
      <c r="J35" s="18"/>
      <c r="K35" s="19"/>
      <c r="L35" s="4"/>
    </row>
    <row r="36" spans="1:12" ht="51.75">
      <c r="A36" s="2" t="s">
        <v>16</v>
      </c>
      <c r="B36" s="30" t="s">
        <v>144</v>
      </c>
      <c r="C36" s="34" t="s">
        <v>89</v>
      </c>
      <c r="D36" s="18"/>
      <c r="E36" s="18">
        <f>E31-E32</f>
        <v>-5813292</v>
      </c>
      <c r="F36" s="18">
        <f aca="true" t="shared" si="12" ref="F36:K36">F31-F32</f>
        <v>-1000000</v>
      </c>
      <c r="G36" s="18">
        <f t="shared" si="12"/>
        <v>0</v>
      </c>
      <c r="H36" s="18">
        <f t="shared" si="12"/>
        <v>0</v>
      </c>
      <c r="I36" s="18">
        <f t="shared" si="12"/>
        <v>0</v>
      </c>
      <c r="J36" s="18">
        <f t="shared" si="12"/>
        <v>0</v>
      </c>
      <c r="K36" s="18">
        <f t="shared" si="12"/>
        <v>0</v>
      </c>
      <c r="L36" s="4" t="e">
        <f t="shared" si="1"/>
        <v>#DIV/0!</v>
      </c>
    </row>
    <row r="37" spans="1:12" ht="31.5">
      <c r="A37" s="2" t="s">
        <v>17</v>
      </c>
      <c r="B37" s="9" t="s">
        <v>145</v>
      </c>
      <c r="C37" s="34" t="s">
        <v>90</v>
      </c>
      <c r="D37" s="18"/>
      <c r="E37" s="18">
        <f aca="true" t="shared" si="13" ref="E37:K37">SUM(E38:E39)</f>
        <v>11000000</v>
      </c>
      <c r="F37" s="18">
        <f t="shared" si="13"/>
        <v>1000000</v>
      </c>
      <c r="G37" s="18">
        <f t="shared" si="13"/>
        <v>0</v>
      </c>
      <c r="H37" s="18">
        <f t="shared" si="13"/>
        <v>0</v>
      </c>
      <c r="I37" s="18">
        <f t="shared" si="13"/>
        <v>0</v>
      </c>
      <c r="J37" s="18">
        <f t="shared" si="13"/>
        <v>0</v>
      </c>
      <c r="K37" s="19">
        <f t="shared" si="13"/>
        <v>0</v>
      </c>
      <c r="L37" s="4" t="e">
        <f t="shared" si="1"/>
        <v>#DIV/0!</v>
      </c>
    </row>
    <row r="38" spans="1:12" ht="19.5" customHeight="1">
      <c r="A38" s="2"/>
      <c r="B38" s="6" t="s">
        <v>50</v>
      </c>
      <c r="C38" s="34" t="s">
        <v>91</v>
      </c>
      <c r="D38" s="18"/>
      <c r="E38" s="18">
        <v>10000000</v>
      </c>
      <c r="F38" s="18"/>
      <c r="G38" s="18"/>
      <c r="H38" s="18"/>
      <c r="I38" s="18"/>
      <c r="J38" s="18"/>
      <c r="K38" s="19"/>
      <c r="L38" s="4"/>
    </row>
    <row r="39" spans="1:12" ht="15.75">
      <c r="A39" s="2"/>
      <c r="B39" s="3" t="s">
        <v>77</v>
      </c>
      <c r="C39" s="34" t="s">
        <v>92</v>
      </c>
      <c r="D39" s="18"/>
      <c r="E39" s="18">
        <v>1000000</v>
      </c>
      <c r="F39" s="18">
        <v>1000000</v>
      </c>
      <c r="G39" s="18"/>
      <c r="H39" s="18"/>
      <c r="I39" s="18"/>
      <c r="J39" s="18"/>
      <c r="K39" s="19"/>
      <c r="L39" s="4"/>
    </row>
    <row r="40" spans="1:12" ht="15.75">
      <c r="A40" s="2" t="s">
        <v>18</v>
      </c>
      <c r="B40" s="9" t="s">
        <v>140</v>
      </c>
      <c r="C40" s="34" t="s">
        <v>93</v>
      </c>
      <c r="D40" s="18"/>
      <c r="E40" s="18">
        <v>653427</v>
      </c>
      <c r="F40" s="18"/>
      <c r="G40" s="18"/>
      <c r="H40" s="18"/>
      <c r="I40" s="18"/>
      <c r="J40" s="18"/>
      <c r="K40" s="19"/>
      <c r="L40" s="4"/>
    </row>
    <row r="41" spans="1:12" ht="15.75">
      <c r="A41" s="2" t="s">
        <v>19</v>
      </c>
      <c r="B41" s="9" t="s">
        <v>141</v>
      </c>
      <c r="C41" s="34" t="s">
        <v>94</v>
      </c>
      <c r="D41" s="18"/>
      <c r="E41" s="18">
        <v>0</v>
      </c>
      <c r="F41" s="18">
        <f aca="true" t="shared" si="14" ref="F41:K41">SUM(F36:F37)</f>
        <v>0</v>
      </c>
      <c r="G41" s="18">
        <f t="shared" si="14"/>
        <v>0</v>
      </c>
      <c r="H41" s="18">
        <f t="shared" si="14"/>
        <v>0</v>
      </c>
      <c r="I41" s="18">
        <f t="shared" si="14"/>
        <v>0</v>
      </c>
      <c r="J41" s="18">
        <f t="shared" si="14"/>
        <v>0</v>
      </c>
      <c r="K41" s="19">
        <f t="shared" si="14"/>
        <v>0</v>
      </c>
      <c r="L41" s="4" t="e">
        <f>H41/G41*100</f>
        <v>#DIV/0!</v>
      </c>
    </row>
    <row r="42" spans="1:12" ht="28.5" customHeight="1" thickBot="1">
      <c r="A42" s="12" t="s">
        <v>20</v>
      </c>
      <c r="B42" s="36" t="s">
        <v>125</v>
      </c>
      <c r="C42" s="34" t="s">
        <v>95</v>
      </c>
      <c r="D42" s="23"/>
      <c r="E42" s="23">
        <v>15846573</v>
      </c>
      <c r="F42" s="23">
        <v>11675306</v>
      </c>
      <c r="G42" s="23">
        <v>7916666</v>
      </c>
      <c r="H42" s="23">
        <v>4999999</v>
      </c>
      <c r="I42" s="23">
        <v>3333332</v>
      </c>
      <c r="J42" s="23">
        <v>1666665</v>
      </c>
      <c r="K42" s="24">
        <v>0</v>
      </c>
      <c r="L42" s="4">
        <f>H42/G42*100</f>
        <v>63.1578874238221</v>
      </c>
    </row>
    <row r="43" spans="1:3" ht="15.75">
      <c r="A43" s="14"/>
      <c r="B43" s="15"/>
      <c r="C43" s="16"/>
    </row>
    <row r="44" spans="1:11" ht="69.75" customHeight="1">
      <c r="A44" s="14"/>
      <c r="B44" s="31" t="s">
        <v>60</v>
      </c>
      <c r="C44" s="32"/>
      <c r="D44" s="33"/>
      <c r="E44" s="33"/>
      <c r="F44" s="33"/>
      <c r="G44" s="33"/>
      <c r="H44" s="33"/>
      <c r="I44" s="33"/>
      <c r="J44" s="33"/>
      <c r="K44" s="33"/>
    </row>
    <row r="45" spans="1:11" ht="51" customHeight="1">
      <c r="A45" s="14"/>
      <c r="B45" s="106" t="s">
        <v>74</v>
      </c>
      <c r="C45" s="106"/>
      <c r="D45" s="106"/>
      <c r="E45" s="106"/>
      <c r="F45" s="106"/>
      <c r="G45" s="106"/>
      <c r="H45" s="106"/>
      <c r="I45" s="5"/>
      <c r="J45" s="5"/>
      <c r="K45" s="5"/>
    </row>
    <row r="46" spans="1:11" ht="67.5" customHeight="1">
      <c r="A46" s="14"/>
      <c r="B46" s="106" t="s">
        <v>78</v>
      </c>
      <c r="C46" s="106"/>
      <c r="D46" s="106"/>
      <c r="E46" s="106"/>
      <c r="F46" s="106"/>
      <c r="G46" s="106"/>
      <c r="H46" s="106"/>
      <c r="I46" s="5"/>
      <c r="J46" s="5"/>
      <c r="K46" s="5"/>
    </row>
    <row r="47" spans="1:11" ht="18.75">
      <c r="A47" s="14"/>
      <c r="B47" s="31"/>
      <c r="C47" s="32"/>
      <c r="D47" s="33"/>
      <c r="E47" s="33"/>
      <c r="F47" s="33"/>
      <c r="G47" s="33"/>
      <c r="H47" s="33"/>
      <c r="I47" s="33"/>
      <c r="J47" s="33"/>
      <c r="K47" s="33"/>
    </row>
    <row r="48" spans="1:11" ht="18.75">
      <c r="A48" s="14"/>
      <c r="B48" s="31"/>
      <c r="C48" s="32"/>
      <c r="D48" s="33"/>
      <c r="E48" s="33"/>
      <c r="F48" s="33"/>
      <c r="G48" s="33"/>
      <c r="H48" s="33"/>
      <c r="I48" s="33"/>
      <c r="J48" s="33"/>
      <c r="K48" s="33"/>
    </row>
    <row r="49" spans="1:11" ht="18.75">
      <c r="A49" s="14"/>
      <c r="B49" s="31" t="s">
        <v>75</v>
      </c>
      <c r="C49" s="32"/>
      <c r="D49" s="33"/>
      <c r="E49" s="33"/>
      <c r="F49" s="33"/>
      <c r="G49" s="33"/>
      <c r="H49" s="33"/>
      <c r="I49" s="33"/>
      <c r="J49" s="33"/>
      <c r="K49" s="33"/>
    </row>
    <row r="50" spans="1:11" ht="18.75">
      <c r="A50" s="14"/>
      <c r="B50" s="114" t="s">
        <v>61</v>
      </c>
      <c r="C50" s="114"/>
      <c r="D50" s="114"/>
      <c r="E50" s="114"/>
      <c r="F50" s="114"/>
      <c r="G50" s="114"/>
      <c r="H50" s="114"/>
      <c r="I50" s="5"/>
      <c r="J50" s="5"/>
      <c r="K50" s="5"/>
    </row>
    <row r="51" spans="1:11" ht="18.75">
      <c r="A51" s="14"/>
      <c r="B51" s="31"/>
      <c r="C51" s="32"/>
      <c r="D51" s="33"/>
      <c r="E51" s="33"/>
      <c r="F51" s="33"/>
      <c r="G51" s="33"/>
      <c r="H51" s="33"/>
      <c r="I51" s="33"/>
      <c r="J51" s="33"/>
      <c r="K51" s="33"/>
    </row>
    <row r="52" spans="1:11" ht="18.75">
      <c r="A52" s="14"/>
      <c r="B52" s="31"/>
      <c r="C52" s="32"/>
      <c r="D52" s="33"/>
      <c r="E52" s="33"/>
      <c r="F52" s="33"/>
      <c r="G52" s="33"/>
      <c r="H52" s="33"/>
      <c r="I52" s="33"/>
      <c r="J52" s="33"/>
      <c r="K52" s="33"/>
    </row>
    <row r="53" spans="1:11" ht="90" customHeight="1">
      <c r="A53" s="14"/>
      <c r="B53" s="31"/>
      <c r="C53" s="32"/>
      <c r="D53" s="33"/>
      <c r="E53" s="33"/>
      <c r="F53" s="33"/>
      <c r="G53" s="33"/>
      <c r="H53" s="33"/>
      <c r="I53" s="33"/>
      <c r="J53" s="33"/>
      <c r="K53" s="33"/>
    </row>
    <row r="54" spans="1:11" ht="18.75">
      <c r="A54" s="14"/>
      <c r="B54" s="31"/>
      <c r="C54" s="115" t="s">
        <v>76</v>
      </c>
      <c r="D54" s="115"/>
      <c r="E54" s="115"/>
      <c r="F54" s="115"/>
      <c r="G54" s="115"/>
      <c r="H54" s="115"/>
      <c r="I54" s="5"/>
      <c r="J54" s="5"/>
      <c r="K54" s="5"/>
    </row>
    <row r="55" spans="1:11" ht="18.75">
      <c r="A55" s="14"/>
      <c r="B55" s="31"/>
      <c r="C55" s="116" t="s">
        <v>62</v>
      </c>
      <c r="D55" s="116"/>
      <c r="E55" s="116"/>
      <c r="F55" s="116"/>
      <c r="G55" s="116"/>
      <c r="H55" s="116"/>
      <c r="I55" s="5"/>
      <c r="J55" s="5"/>
      <c r="K55" s="5"/>
    </row>
    <row r="56" spans="1:3" ht="15.75">
      <c r="A56" s="14"/>
      <c r="B56" s="15"/>
      <c r="C56" s="16"/>
    </row>
    <row r="57" spans="1:3" ht="15.75">
      <c r="A57" s="14"/>
      <c r="B57" s="15"/>
      <c r="C57" s="16"/>
    </row>
    <row r="58" spans="1:3" ht="15.75">
      <c r="A58" s="14"/>
      <c r="B58" s="15"/>
      <c r="C58" s="16"/>
    </row>
    <row r="59" spans="1:3" ht="15.75">
      <c r="A59" s="14"/>
      <c r="B59" s="15"/>
      <c r="C59" s="16"/>
    </row>
    <row r="60" spans="1:3" ht="15.75">
      <c r="A60" s="14"/>
      <c r="B60" s="15"/>
      <c r="C60" s="16"/>
    </row>
    <row r="61" spans="1:3" ht="15.75">
      <c r="A61" s="14"/>
      <c r="B61" s="15"/>
      <c r="C61" s="16"/>
    </row>
    <row r="62" spans="1:3" ht="15.75">
      <c r="A62" s="14"/>
      <c r="B62" s="15"/>
      <c r="C62" s="16"/>
    </row>
    <row r="63" spans="1:11" ht="15.75">
      <c r="A63" s="113" t="s">
        <v>15</v>
      </c>
      <c r="B63" s="113"/>
      <c r="C63" s="113"/>
      <c r="D63" s="113"/>
      <c r="E63" s="113"/>
      <c r="F63" s="113"/>
      <c r="G63" s="113"/>
      <c r="H63" s="113"/>
      <c r="I63" s="5"/>
      <c r="J63" s="5"/>
      <c r="K63" s="5"/>
    </row>
    <row r="64" spans="1:3" ht="15.75">
      <c r="A64" s="14"/>
      <c r="B64" s="15"/>
      <c r="C64" s="16"/>
    </row>
    <row r="65" spans="1:3" ht="15.75">
      <c r="A65" s="14"/>
      <c r="B65" s="15"/>
      <c r="C65" s="16"/>
    </row>
    <row r="66" spans="1:3" ht="15.75">
      <c r="A66" s="14"/>
      <c r="B66" s="15"/>
      <c r="C66" s="16"/>
    </row>
    <row r="67" spans="1:3" ht="15.75">
      <c r="A67" s="14"/>
      <c r="B67" s="15"/>
      <c r="C67" s="16"/>
    </row>
    <row r="68" spans="1:3" ht="15.75">
      <c r="A68" s="14"/>
      <c r="B68" s="15"/>
      <c r="C68" s="16"/>
    </row>
    <row r="69" spans="1:3" ht="15.75">
      <c r="A69" s="14"/>
      <c r="B69" s="15"/>
      <c r="C69" s="16"/>
    </row>
    <row r="70" spans="1:3" ht="15.75">
      <c r="A70" s="14"/>
      <c r="B70" s="15"/>
      <c r="C70" s="16"/>
    </row>
    <row r="71" spans="1:3" ht="15.75">
      <c r="A71" s="14"/>
      <c r="B71" s="15"/>
      <c r="C71" s="16"/>
    </row>
    <row r="72" spans="1:3" ht="15.75">
      <c r="A72" s="14"/>
      <c r="B72" s="15"/>
      <c r="C72" s="16"/>
    </row>
    <row r="73" spans="1:3" ht="15.75">
      <c r="A73" s="14"/>
      <c r="B73" s="15"/>
      <c r="C73" s="16"/>
    </row>
    <row r="74" spans="1:3" ht="15.75">
      <c r="A74" s="14"/>
      <c r="B74" s="15"/>
      <c r="C74" s="16"/>
    </row>
    <row r="75" spans="1:3" ht="15.75">
      <c r="A75" s="14"/>
      <c r="B75" s="15"/>
      <c r="C75" s="16"/>
    </row>
    <row r="76" spans="1:3" ht="15.75">
      <c r="A76" s="14"/>
      <c r="B76" s="15"/>
      <c r="C76" s="16"/>
    </row>
    <row r="77" spans="1:3" ht="15.75">
      <c r="A77" s="14"/>
      <c r="B77" s="15"/>
      <c r="C77" s="16"/>
    </row>
    <row r="78" spans="1:3" ht="15.75">
      <c r="A78" s="14"/>
      <c r="B78" s="15"/>
      <c r="C78" s="16"/>
    </row>
    <row r="79" spans="1:3" ht="15.75">
      <c r="A79" s="14"/>
      <c r="B79" s="15"/>
      <c r="C79" s="16"/>
    </row>
    <row r="80" spans="1:3" ht="15.75">
      <c r="A80" s="14"/>
      <c r="B80" s="15"/>
      <c r="C80" s="16"/>
    </row>
    <row r="81" spans="1:3" ht="15.75">
      <c r="A81" s="14"/>
      <c r="B81" s="15"/>
      <c r="C81" s="16"/>
    </row>
    <row r="82" spans="1:3" ht="15.75">
      <c r="A82" s="14"/>
      <c r="B82" s="15"/>
      <c r="C82" s="16"/>
    </row>
    <row r="83" spans="1:3" ht="15.75">
      <c r="A83" s="14"/>
      <c r="B83" s="15"/>
      <c r="C83" s="16"/>
    </row>
    <row r="84" spans="1:3" ht="15.75">
      <c r="A84" s="14"/>
      <c r="B84" s="15"/>
      <c r="C84" s="16"/>
    </row>
    <row r="85" spans="1:3" ht="15.75">
      <c r="A85" s="14"/>
      <c r="B85" s="15"/>
      <c r="C85" s="16"/>
    </row>
    <row r="86" spans="1:3" ht="15.75">
      <c r="A86" s="14"/>
      <c r="B86" s="15"/>
      <c r="C86" s="16"/>
    </row>
    <row r="87" spans="1:3" ht="15.75">
      <c r="A87" s="14"/>
      <c r="B87" s="15"/>
      <c r="C87" s="16"/>
    </row>
    <row r="88" spans="1:3" ht="15.75">
      <c r="A88" s="14"/>
      <c r="B88" s="15"/>
      <c r="C88" s="16"/>
    </row>
    <row r="89" spans="1:3" ht="15.75">
      <c r="A89" s="14"/>
      <c r="B89" s="15"/>
      <c r="C89" s="16"/>
    </row>
    <row r="90" spans="1:3" ht="15.75">
      <c r="A90" s="14"/>
      <c r="B90" s="15"/>
      <c r="C90" s="16"/>
    </row>
    <row r="91" spans="1:3" ht="15.75">
      <c r="A91" s="14"/>
      <c r="B91" s="15"/>
      <c r="C91" s="16"/>
    </row>
    <row r="92" spans="1:3" ht="15.75">
      <c r="A92" s="14"/>
      <c r="B92" s="15"/>
      <c r="C92" s="16"/>
    </row>
    <row r="93" spans="1:3" ht="15.75">
      <c r="A93" s="14"/>
      <c r="B93" s="15"/>
      <c r="C93" s="16"/>
    </row>
    <row r="94" spans="1:3" ht="15.75">
      <c r="A94" s="14"/>
      <c r="B94" s="15"/>
      <c r="C94" s="16"/>
    </row>
    <row r="95" spans="1:3" ht="15.75">
      <c r="A95" s="14"/>
      <c r="B95" s="15"/>
      <c r="C95" s="16"/>
    </row>
    <row r="96" spans="1:3" ht="15.75">
      <c r="A96" s="14"/>
      <c r="B96" s="15"/>
      <c r="C96" s="16"/>
    </row>
    <row r="97" spans="1:3" ht="15.75">
      <c r="A97" s="14"/>
      <c r="B97" s="15"/>
      <c r="C97" s="16"/>
    </row>
    <row r="98" spans="1:3" ht="15.75">
      <c r="A98" s="14"/>
      <c r="B98" s="15"/>
      <c r="C98" s="16"/>
    </row>
    <row r="99" spans="1:3" ht="15.75">
      <c r="A99" s="14"/>
      <c r="B99" s="15"/>
      <c r="C99" s="16"/>
    </row>
    <row r="100" spans="1:3" ht="15.75">
      <c r="A100" s="14"/>
      <c r="B100" s="15"/>
      <c r="C100" s="16"/>
    </row>
    <row r="101" spans="1:3" ht="15.75">
      <c r="A101" s="14"/>
      <c r="B101" s="15"/>
      <c r="C101" s="16"/>
    </row>
    <row r="102" spans="1:3" ht="15.75">
      <c r="A102" s="14"/>
      <c r="B102" s="15"/>
      <c r="C102" s="16"/>
    </row>
    <row r="103" spans="1:3" ht="15.75">
      <c r="A103" s="14"/>
      <c r="B103" s="15"/>
      <c r="C103" s="16"/>
    </row>
    <row r="104" spans="1:3" ht="15.75">
      <c r="A104" s="14"/>
      <c r="B104" s="15"/>
      <c r="C104" s="16"/>
    </row>
    <row r="105" spans="1:3" ht="15.75">
      <c r="A105" s="14"/>
      <c r="B105" s="15"/>
      <c r="C105" s="16"/>
    </row>
    <row r="106" spans="1:3" ht="15.75">
      <c r="A106" s="14"/>
      <c r="B106" s="15"/>
      <c r="C106" s="16"/>
    </row>
    <row r="107" spans="1:3" ht="15.75">
      <c r="A107" s="14"/>
      <c r="B107" s="15"/>
      <c r="C107" s="16"/>
    </row>
    <row r="108" spans="1:3" ht="15.75">
      <c r="A108" s="14"/>
      <c r="B108" s="15"/>
      <c r="C108" s="16"/>
    </row>
    <row r="109" spans="1:3" ht="15.75">
      <c r="A109" s="14"/>
      <c r="B109" s="15"/>
      <c r="C109" s="16"/>
    </row>
    <row r="110" spans="1:3" ht="15.75">
      <c r="A110" s="14"/>
      <c r="B110" s="15"/>
      <c r="C110" s="16"/>
    </row>
    <row r="111" spans="1:3" ht="15.75">
      <c r="A111" s="14"/>
      <c r="B111" s="15"/>
      <c r="C111" s="16"/>
    </row>
    <row r="112" spans="1:3" ht="15.75">
      <c r="A112" s="14"/>
      <c r="B112" s="15"/>
      <c r="C112" s="16"/>
    </row>
    <row r="113" spans="1:3" ht="15.75">
      <c r="A113" s="14"/>
      <c r="B113" s="15"/>
      <c r="C113" s="16"/>
    </row>
    <row r="114" spans="1:3" ht="15.75">
      <c r="A114" s="14"/>
      <c r="B114" s="15"/>
      <c r="C114" s="16"/>
    </row>
    <row r="115" spans="1:3" ht="15.75">
      <c r="A115" s="14"/>
      <c r="B115" s="15"/>
      <c r="C115" s="16"/>
    </row>
    <row r="116" spans="1:3" ht="15.75">
      <c r="A116" s="14"/>
      <c r="B116" s="15"/>
      <c r="C116" s="16"/>
    </row>
    <row r="117" spans="1:3" ht="15.75">
      <c r="A117" s="14"/>
      <c r="B117" s="15"/>
      <c r="C117" s="16"/>
    </row>
    <row r="118" spans="1:3" ht="15.75">
      <c r="A118" s="14"/>
      <c r="B118" s="15"/>
      <c r="C118" s="16"/>
    </row>
    <row r="119" spans="1:3" ht="15.75">
      <c r="A119" s="14"/>
      <c r="B119" s="15"/>
      <c r="C119" s="16"/>
    </row>
    <row r="120" spans="1:3" ht="15.75">
      <c r="A120" s="14"/>
      <c r="B120" s="15"/>
      <c r="C120" s="16"/>
    </row>
    <row r="121" spans="1:3" ht="15.75">
      <c r="A121" s="14"/>
      <c r="B121" s="15"/>
      <c r="C121" s="16"/>
    </row>
    <row r="122" spans="1:3" ht="15.75">
      <c r="A122" s="14"/>
      <c r="B122" s="15"/>
      <c r="C122" s="16"/>
    </row>
    <row r="123" spans="1:3" ht="15.75">
      <c r="A123" s="14"/>
      <c r="B123" s="15"/>
      <c r="C123" s="16"/>
    </row>
    <row r="124" spans="1:3" ht="15.75">
      <c r="A124" s="14"/>
      <c r="B124" s="15"/>
      <c r="C124" s="16"/>
    </row>
    <row r="125" spans="1:3" ht="15.75">
      <c r="A125" s="14"/>
      <c r="B125" s="15"/>
      <c r="C125" s="16"/>
    </row>
    <row r="126" spans="1:3" ht="15.75">
      <c r="A126" s="14"/>
      <c r="B126" s="15"/>
      <c r="C126" s="16"/>
    </row>
    <row r="127" spans="1:3" ht="15.75">
      <c r="A127" s="14"/>
      <c r="B127" s="15"/>
      <c r="C127" s="16"/>
    </row>
    <row r="128" spans="1:3" ht="15.75">
      <c r="A128" s="14"/>
      <c r="B128" s="15"/>
      <c r="C128" s="16"/>
    </row>
    <row r="129" spans="1:3" ht="15.75">
      <c r="A129" s="14"/>
      <c r="B129" s="15"/>
      <c r="C129" s="16"/>
    </row>
    <row r="130" spans="1:3" ht="15.75">
      <c r="A130" s="14"/>
      <c r="B130" s="15"/>
      <c r="C130" s="16"/>
    </row>
    <row r="131" spans="1:3" ht="15.75">
      <c r="A131" s="14"/>
      <c r="B131" s="15"/>
      <c r="C131" s="16"/>
    </row>
    <row r="132" spans="1:3" ht="15.75">
      <c r="A132" s="14"/>
      <c r="B132" s="15"/>
      <c r="C132" s="16"/>
    </row>
    <row r="133" spans="1:3" ht="15.75">
      <c r="A133" s="14"/>
      <c r="B133" s="15"/>
      <c r="C133" s="16"/>
    </row>
    <row r="134" spans="1:3" ht="15.75">
      <c r="A134" s="14"/>
      <c r="B134" s="15"/>
      <c r="C134" s="16"/>
    </row>
    <row r="135" spans="1:3" ht="15.75">
      <c r="A135" s="14"/>
      <c r="B135" s="15"/>
      <c r="C135" s="16"/>
    </row>
    <row r="136" spans="1:3" ht="15.75">
      <c r="A136" s="14"/>
      <c r="B136" s="15"/>
      <c r="C136" s="16"/>
    </row>
    <row r="137" spans="1:3" ht="15.75">
      <c r="A137" s="14"/>
      <c r="B137" s="15"/>
      <c r="C137" s="16"/>
    </row>
    <row r="138" spans="1:3" ht="15.75">
      <c r="A138" s="14"/>
      <c r="B138" s="15"/>
      <c r="C138" s="16"/>
    </row>
    <row r="139" spans="1:3" ht="15.75">
      <c r="A139" s="14"/>
      <c r="B139" s="15"/>
      <c r="C139" s="16"/>
    </row>
    <row r="140" spans="1:3" ht="15.75">
      <c r="A140" s="14"/>
      <c r="B140" s="15"/>
      <c r="C140" s="16"/>
    </row>
    <row r="141" spans="1:3" ht="15.75">
      <c r="A141" s="14"/>
      <c r="B141" s="15"/>
      <c r="C141" s="16"/>
    </row>
    <row r="142" spans="1:3" ht="15.75">
      <c r="A142" s="14"/>
      <c r="B142" s="15"/>
      <c r="C142" s="16"/>
    </row>
    <row r="143" spans="1:3" ht="15.75">
      <c r="A143" s="14"/>
      <c r="B143" s="15"/>
      <c r="C143" s="16"/>
    </row>
    <row r="144" spans="1:3" ht="15.75">
      <c r="A144" s="14"/>
      <c r="B144" s="15"/>
      <c r="C144" s="16"/>
    </row>
    <row r="145" spans="1:3" ht="15.75">
      <c r="A145" s="14"/>
      <c r="B145" s="15"/>
      <c r="C145" s="16"/>
    </row>
    <row r="146" spans="1:3" ht="15.75">
      <c r="A146" s="14"/>
      <c r="B146" s="15"/>
      <c r="C146" s="16"/>
    </row>
    <row r="147" spans="1:3" ht="15.75">
      <c r="A147" s="14"/>
      <c r="B147" s="15"/>
      <c r="C147" s="16"/>
    </row>
    <row r="148" spans="1:3" ht="15.75">
      <c r="A148" s="14"/>
      <c r="B148" s="15"/>
      <c r="C148" s="16"/>
    </row>
    <row r="149" spans="1:3" ht="15.75">
      <c r="A149" s="14"/>
      <c r="B149" s="15"/>
      <c r="C149" s="16"/>
    </row>
    <row r="150" spans="1:3" ht="15.75">
      <c r="A150" s="14"/>
      <c r="B150" s="15"/>
      <c r="C150" s="16"/>
    </row>
    <row r="151" spans="1:3" ht="15.75">
      <c r="A151" s="14"/>
      <c r="B151" s="15"/>
      <c r="C151" s="16"/>
    </row>
    <row r="152" spans="1:3" ht="15.75">
      <c r="A152" s="14"/>
      <c r="B152" s="15"/>
      <c r="C152" s="16"/>
    </row>
    <row r="153" spans="1:3" ht="15.75">
      <c r="A153" s="14"/>
      <c r="B153" s="15"/>
      <c r="C153" s="16"/>
    </row>
    <row r="154" spans="1:3" ht="15.75">
      <c r="A154" s="14"/>
      <c r="B154" s="15"/>
      <c r="C154" s="16"/>
    </row>
    <row r="155" spans="1:3" ht="15.75">
      <c r="A155" s="14"/>
      <c r="B155" s="15"/>
      <c r="C155" s="16"/>
    </row>
    <row r="156" spans="1:3" ht="15.75">
      <c r="A156" s="14"/>
      <c r="B156" s="15"/>
      <c r="C156" s="16"/>
    </row>
    <row r="157" spans="1:3" ht="15.75">
      <c r="A157" s="14"/>
      <c r="B157" s="15"/>
      <c r="C157" s="16"/>
    </row>
    <row r="158" spans="1:3" ht="15.75">
      <c r="A158" s="14"/>
      <c r="B158" s="15"/>
      <c r="C158" s="16"/>
    </row>
    <row r="159" spans="1:3" ht="15.75">
      <c r="A159" s="14"/>
      <c r="B159" s="15"/>
      <c r="C159" s="16"/>
    </row>
    <row r="160" spans="1:3" ht="15.75">
      <c r="A160" s="14"/>
      <c r="B160" s="15"/>
      <c r="C160" s="16"/>
    </row>
    <row r="161" spans="1:3" ht="15.75">
      <c r="A161" s="14"/>
      <c r="B161" s="15"/>
      <c r="C161" s="16"/>
    </row>
    <row r="162" spans="1:3" ht="15.75">
      <c r="A162" s="14"/>
      <c r="B162" s="15"/>
      <c r="C162" s="16"/>
    </row>
    <row r="163" spans="1:3" ht="15.75">
      <c r="A163" s="14"/>
      <c r="B163" s="15"/>
      <c r="C163" s="16"/>
    </row>
    <row r="164" spans="1:3" ht="15.75">
      <c r="A164" s="14"/>
      <c r="B164" s="15"/>
      <c r="C164" s="16"/>
    </row>
    <row r="165" spans="1:3" ht="15.75">
      <c r="A165" s="14"/>
      <c r="B165" s="15"/>
      <c r="C165" s="16"/>
    </row>
    <row r="166" spans="1:3" ht="15.75">
      <c r="A166" s="14"/>
      <c r="B166" s="15"/>
      <c r="C166" s="16"/>
    </row>
    <row r="167" spans="1:3" ht="15.75">
      <c r="A167" s="14"/>
      <c r="B167" s="15"/>
      <c r="C167" s="16"/>
    </row>
  </sheetData>
  <mergeCells count="11">
    <mergeCell ref="A2:K2"/>
    <mergeCell ref="B45:H45"/>
    <mergeCell ref="B46:H46"/>
    <mergeCell ref="C3:C5"/>
    <mergeCell ref="B3:B5"/>
    <mergeCell ref="A3:A5"/>
    <mergeCell ref="D3:K3"/>
    <mergeCell ref="A63:H63"/>
    <mergeCell ref="B50:H50"/>
    <mergeCell ref="C54:H54"/>
    <mergeCell ref="C55:H55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82" r:id="rId1"/>
  <rowBreaks count="2" manualBreakCount="2">
    <brk id="23" max="10" man="1"/>
    <brk id="4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L169"/>
  <sheetViews>
    <sheetView view="pageBreakPreview" zoomScale="75" zoomScaleNormal="75" zoomScaleSheetLayoutView="75" workbookViewId="0" topLeftCell="A1">
      <selection activeCell="E42" sqref="E42"/>
    </sheetView>
  </sheetViews>
  <sheetFormatPr defaultColWidth="9.00390625" defaultRowHeight="12.75"/>
  <cols>
    <col min="1" max="1" width="4.00390625" style="17" bestFit="1" customWidth="1"/>
    <col min="2" max="2" width="48.75390625" style="5" bestFit="1" customWidth="1"/>
    <col min="3" max="3" width="9.375" style="1" bestFit="1" customWidth="1"/>
    <col min="4" max="4" width="14.25390625" style="1" hidden="1" customWidth="1"/>
    <col min="5" max="11" width="14.25390625" style="1" customWidth="1"/>
    <col min="12" max="16384" width="14.25390625" style="5" customWidth="1"/>
  </cols>
  <sheetData>
    <row r="2" spans="1:11" s="29" customFormat="1" ht="23.25" thickBot="1">
      <c r="A2" s="120" t="s">
        <v>126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7" customFormat="1" ht="17.25" customHeight="1">
      <c r="A3" s="102"/>
      <c r="B3" s="110" t="s">
        <v>0</v>
      </c>
      <c r="C3" s="107" t="s">
        <v>63</v>
      </c>
      <c r="D3" s="110" t="s">
        <v>1</v>
      </c>
      <c r="E3" s="110"/>
      <c r="F3" s="110"/>
      <c r="G3" s="110"/>
      <c r="H3" s="110"/>
      <c r="I3" s="110"/>
      <c r="J3" s="110"/>
      <c r="K3" s="122"/>
    </row>
    <row r="4" spans="1:12" s="17" customFormat="1" ht="15.75">
      <c r="A4" s="104"/>
      <c r="B4" s="109"/>
      <c r="C4" s="109"/>
      <c r="D4" s="25">
        <v>2001</v>
      </c>
      <c r="E4" s="25">
        <v>2002</v>
      </c>
      <c r="F4" s="25">
        <v>2003</v>
      </c>
      <c r="G4" s="25">
        <v>2004</v>
      </c>
      <c r="H4" s="25">
        <v>2005</v>
      </c>
      <c r="I4" s="25">
        <v>2006</v>
      </c>
      <c r="J4" s="25">
        <v>2007</v>
      </c>
      <c r="K4" s="26">
        <v>2008</v>
      </c>
      <c r="L4" s="17" t="s">
        <v>56</v>
      </c>
    </row>
    <row r="5" spans="1:11" s="17" customFormat="1" ht="15.75">
      <c r="A5" s="104"/>
      <c r="B5" s="109"/>
      <c r="C5" s="109"/>
      <c r="D5" s="25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6</v>
      </c>
      <c r="J5" s="25" t="s">
        <v>6</v>
      </c>
      <c r="K5" s="26" t="s">
        <v>6</v>
      </c>
    </row>
    <row r="6" spans="1:12" ht="30" customHeight="1">
      <c r="A6" s="2">
        <v>1</v>
      </c>
      <c r="B6" s="3" t="s">
        <v>108</v>
      </c>
      <c r="C6" s="34" t="s">
        <v>128</v>
      </c>
      <c r="D6" s="18"/>
      <c r="E6" s="18">
        <f aca="true" t="shared" si="0" ref="E6:K6">SUM(E7:E8)</f>
        <v>5338000</v>
      </c>
      <c r="F6" s="18">
        <f t="shared" si="0"/>
        <v>6000000</v>
      </c>
      <c r="G6" s="18">
        <f t="shared" si="0"/>
        <v>6200000</v>
      </c>
      <c r="H6" s="18">
        <f t="shared" si="0"/>
        <v>7500000</v>
      </c>
      <c r="I6" s="18">
        <f t="shared" si="0"/>
        <v>7000000</v>
      </c>
      <c r="J6" s="18">
        <f t="shared" si="0"/>
        <v>7000000</v>
      </c>
      <c r="K6" s="19">
        <f t="shared" si="0"/>
        <v>7200000</v>
      </c>
      <c r="L6" s="4">
        <f aca="true" t="shared" si="1" ref="L6:L29">H6/G6*100</f>
        <v>120.96774193548387</v>
      </c>
    </row>
    <row r="7" spans="1:12" ht="19.5" customHeight="1">
      <c r="A7" s="2"/>
      <c r="B7" s="6" t="s">
        <v>117</v>
      </c>
      <c r="C7" s="34" t="s">
        <v>129</v>
      </c>
      <c r="D7" s="18"/>
      <c r="E7" s="18">
        <v>3309000</v>
      </c>
      <c r="F7" s="18">
        <v>2000000</v>
      </c>
      <c r="G7" s="18">
        <v>2000000</v>
      </c>
      <c r="H7" s="18">
        <v>2500000</v>
      </c>
      <c r="I7" s="18">
        <v>2000000</v>
      </c>
      <c r="J7" s="18">
        <v>1500000</v>
      </c>
      <c r="K7" s="19">
        <v>1500000</v>
      </c>
      <c r="L7" s="4">
        <f t="shared" si="1"/>
        <v>125</v>
      </c>
    </row>
    <row r="8" spans="1:12" ht="19.5" customHeight="1">
      <c r="A8" s="2"/>
      <c r="B8" s="6" t="s">
        <v>11</v>
      </c>
      <c r="C8" s="34" t="s">
        <v>130</v>
      </c>
      <c r="D8" s="18"/>
      <c r="E8" s="18">
        <v>2029000</v>
      </c>
      <c r="F8" s="18">
        <v>4000000</v>
      </c>
      <c r="G8" s="18">
        <v>4200000</v>
      </c>
      <c r="H8" s="18">
        <v>5000000</v>
      </c>
      <c r="I8" s="18">
        <v>5000000</v>
      </c>
      <c r="J8" s="18">
        <v>5500000</v>
      </c>
      <c r="K8" s="19">
        <v>5700000</v>
      </c>
      <c r="L8" s="4">
        <f t="shared" si="1"/>
        <v>119.04761904761905</v>
      </c>
    </row>
    <row r="9" spans="1:12" ht="47.25">
      <c r="A9" s="2" t="s">
        <v>12</v>
      </c>
      <c r="B9" s="3" t="s">
        <v>109</v>
      </c>
      <c r="C9" s="34" t="s">
        <v>131</v>
      </c>
      <c r="D9" s="18"/>
      <c r="E9" s="18">
        <f aca="true" t="shared" si="2" ref="E9:K9">SUM(E10:E11)</f>
        <v>18242427</v>
      </c>
      <c r="F9" s="18">
        <f t="shared" si="2"/>
        <v>19600000</v>
      </c>
      <c r="G9" s="18">
        <f t="shared" si="2"/>
        <v>21000000</v>
      </c>
      <c r="H9" s="18">
        <f t="shared" si="2"/>
        <v>21700000</v>
      </c>
      <c r="I9" s="18">
        <f t="shared" si="2"/>
        <v>22500000</v>
      </c>
      <c r="J9" s="18">
        <f t="shared" si="2"/>
        <v>23200000</v>
      </c>
      <c r="K9" s="19">
        <f t="shared" si="2"/>
        <v>23700000</v>
      </c>
      <c r="L9" s="4">
        <f t="shared" si="1"/>
        <v>103.33333333333334</v>
      </c>
    </row>
    <row r="10" spans="1:12" ht="47.25">
      <c r="A10" s="2"/>
      <c r="B10" s="3" t="s">
        <v>67</v>
      </c>
      <c r="C10" s="34" t="s">
        <v>132</v>
      </c>
      <c r="D10" s="18"/>
      <c r="E10" s="18">
        <v>2000000</v>
      </c>
      <c r="F10" s="18">
        <v>2500000</v>
      </c>
      <c r="G10" s="18">
        <v>3000000</v>
      </c>
      <c r="H10" s="18">
        <v>3500000</v>
      </c>
      <c r="I10" s="18">
        <v>3500000</v>
      </c>
      <c r="J10" s="18">
        <v>3700000</v>
      </c>
      <c r="K10" s="19">
        <v>3700000</v>
      </c>
      <c r="L10" s="4">
        <f t="shared" si="1"/>
        <v>116.66666666666667</v>
      </c>
    </row>
    <row r="11" spans="1:12" ht="19.5" customHeight="1">
      <c r="A11" s="2"/>
      <c r="B11" s="6" t="s">
        <v>13</v>
      </c>
      <c r="C11" s="34" t="s">
        <v>133</v>
      </c>
      <c r="D11" s="18"/>
      <c r="E11" s="18">
        <v>16242427</v>
      </c>
      <c r="F11" s="18">
        <v>17100000</v>
      </c>
      <c r="G11" s="18">
        <v>18000000</v>
      </c>
      <c r="H11" s="18">
        <v>18200000</v>
      </c>
      <c r="I11" s="18">
        <v>19000000</v>
      </c>
      <c r="J11" s="18">
        <v>19500000</v>
      </c>
      <c r="K11" s="19">
        <v>20000000</v>
      </c>
      <c r="L11" s="4">
        <f t="shared" si="1"/>
        <v>101.11111111111111</v>
      </c>
    </row>
    <row r="12" spans="1:12" ht="19.5" customHeight="1">
      <c r="A12" s="2" t="s">
        <v>24</v>
      </c>
      <c r="B12" s="6" t="s">
        <v>110</v>
      </c>
      <c r="C12" s="34" t="s">
        <v>134</v>
      </c>
      <c r="D12" s="18"/>
      <c r="E12" s="18">
        <f aca="true" t="shared" si="3" ref="E12:K12">SUM(E6,E9)</f>
        <v>23580427</v>
      </c>
      <c r="F12" s="18">
        <f t="shared" si="3"/>
        <v>25600000</v>
      </c>
      <c r="G12" s="18">
        <f t="shared" si="3"/>
        <v>27200000</v>
      </c>
      <c r="H12" s="18">
        <f t="shared" si="3"/>
        <v>29200000</v>
      </c>
      <c r="I12" s="18">
        <f t="shared" si="3"/>
        <v>29500000</v>
      </c>
      <c r="J12" s="18">
        <f t="shared" si="3"/>
        <v>30200000</v>
      </c>
      <c r="K12" s="19">
        <f t="shared" si="3"/>
        <v>30900000</v>
      </c>
      <c r="L12" s="4">
        <f t="shared" si="1"/>
        <v>107.35294117647058</v>
      </c>
    </row>
    <row r="13" spans="1:12" ht="19.5" customHeight="1">
      <c r="A13" s="2" t="s">
        <v>27</v>
      </c>
      <c r="B13" s="6" t="s">
        <v>111</v>
      </c>
      <c r="C13" s="34" t="s">
        <v>135</v>
      </c>
      <c r="D13" s="18"/>
      <c r="E13" s="18">
        <f aca="true" t="shared" si="4" ref="E13:K13">SUM(E14:E16)</f>
        <v>97842155</v>
      </c>
      <c r="F13" s="18">
        <f t="shared" si="4"/>
        <v>99000000</v>
      </c>
      <c r="G13" s="18">
        <f t="shared" si="4"/>
        <v>102500000</v>
      </c>
      <c r="H13" s="18">
        <f t="shared" si="4"/>
        <v>105000000</v>
      </c>
      <c r="I13" s="18">
        <f t="shared" si="4"/>
        <v>107800000</v>
      </c>
      <c r="J13" s="18">
        <f t="shared" si="4"/>
        <v>110000000</v>
      </c>
      <c r="K13" s="19">
        <f t="shared" si="4"/>
        <v>113000000</v>
      </c>
      <c r="L13" s="4">
        <f t="shared" si="1"/>
        <v>102.4390243902439</v>
      </c>
    </row>
    <row r="14" spans="1:12" ht="19.5" customHeight="1">
      <c r="A14" s="2"/>
      <c r="B14" s="6" t="s">
        <v>29</v>
      </c>
      <c r="C14" s="34" t="s">
        <v>136</v>
      </c>
      <c r="D14" s="18"/>
      <c r="E14" s="18">
        <v>42984956</v>
      </c>
      <c r="F14" s="18">
        <v>44000000</v>
      </c>
      <c r="G14" s="18">
        <v>46000000</v>
      </c>
      <c r="H14" s="18">
        <v>47500000</v>
      </c>
      <c r="I14" s="18">
        <v>49000000</v>
      </c>
      <c r="J14" s="18">
        <v>50200000</v>
      </c>
      <c r="K14" s="19">
        <v>52000000</v>
      </c>
      <c r="L14" s="4">
        <f t="shared" si="1"/>
        <v>103.26086956521738</v>
      </c>
    </row>
    <row r="15" spans="1:12" ht="19.5" customHeight="1">
      <c r="A15" s="2"/>
      <c r="B15" s="6" t="s">
        <v>106</v>
      </c>
      <c r="C15" s="34" t="s">
        <v>14</v>
      </c>
      <c r="D15" s="18"/>
      <c r="E15" s="18">
        <v>32985472</v>
      </c>
      <c r="F15" s="18">
        <v>33000000</v>
      </c>
      <c r="G15" s="18">
        <v>33500000</v>
      </c>
      <c r="H15" s="18">
        <v>34000000</v>
      </c>
      <c r="I15" s="18">
        <v>34800000</v>
      </c>
      <c r="J15" s="18">
        <v>35300000</v>
      </c>
      <c r="K15" s="19">
        <v>36000000</v>
      </c>
      <c r="L15" s="4">
        <f t="shared" si="1"/>
        <v>101.49253731343283</v>
      </c>
    </row>
    <row r="16" spans="1:12" ht="19.5" customHeight="1">
      <c r="A16" s="2"/>
      <c r="B16" s="6" t="s">
        <v>30</v>
      </c>
      <c r="C16" s="34" t="s">
        <v>15</v>
      </c>
      <c r="D16" s="18"/>
      <c r="E16" s="18">
        <v>21871727</v>
      </c>
      <c r="F16" s="18">
        <v>22000000</v>
      </c>
      <c r="G16" s="18">
        <v>23000000</v>
      </c>
      <c r="H16" s="18">
        <v>23500000</v>
      </c>
      <c r="I16" s="18">
        <v>24000000</v>
      </c>
      <c r="J16" s="18">
        <v>24500000</v>
      </c>
      <c r="K16" s="19">
        <v>25000000</v>
      </c>
      <c r="L16" s="4">
        <f t="shared" si="1"/>
        <v>102.17391304347827</v>
      </c>
    </row>
    <row r="17" spans="1:12" ht="19.5" customHeight="1">
      <c r="A17" s="2" t="s">
        <v>31</v>
      </c>
      <c r="B17" s="6" t="s">
        <v>112</v>
      </c>
      <c r="C17" s="34" t="s">
        <v>16</v>
      </c>
      <c r="D17" s="18"/>
      <c r="E17" s="18">
        <f aca="true" t="shared" si="5" ref="E17:K17">SUM(E12:E13)</f>
        <v>121422582</v>
      </c>
      <c r="F17" s="18">
        <f t="shared" si="5"/>
        <v>124600000</v>
      </c>
      <c r="G17" s="18">
        <f t="shared" si="5"/>
        <v>129700000</v>
      </c>
      <c r="H17" s="18">
        <f t="shared" si="5"/>
        <v>134200000</v>
      </c>
      <c r="I17" s="18">
        <f t="shared" si="5"/>
        <v>137300000</v>
      </c>
      <c r="J17" s="18">
        <f t="shared" si="5"/>
        <v>140200000</v>
      </c>
      <c r="K17" s="19">
        <f t="shared" si="5"/>
        <v>143900000</v>
      </c>
      <c r="L17" s="4">
        <f t="shared" si="1"/>
        <v>103.46954510408635</v>
      </c>
    </row>
    <row r="18" spans="1:12" ht="19.5" customHeight="1">
      <c r="A18" s="2" t="s">
        <v>32</v>
      </c>
      <c r="B18" s="6" t="s">
        <v>113</v>
      </c>
      <c r="C18" s="34" t="s">
        <v>17</v>
      </c>
      <c r="D18" s="18"/>
      <c r="E18" s="18">
        <f aca="true" t="shared" si="6" ref="E18:K18">SUM(E19:E22)</f>
        <v>128798247</v>
      </c>
      <c r="F18" s="18">
        <f t="shared" si="6"/>
        <v>132404608</v>
      </c>
      <c r="G18" s="18">
        <f t="shared" si="6"/>
        <v>133300000</v>
      </c>
      <c r="H18" s="18">
        <f t="shared" si="6"/>
        <v>140000000</v>
      </c>
      <c r="I18" s="18">
        <f t="shared" si="6"/>
        <v>142600000</v>
      </c>
      <c r="J18" s="18">
        <f t="shared" si="6"/>
        <v>144000000</v>
      </c>
      <c r="K18" s="19">
        <f t="shared" si="6"/>
        <v>146200000</v>
      </c>
      <c r="L18" s="4">
        <f t="shared" si="1"/>
        <v>105.02625656414104</v>
      </c>
    </row>
    <row r="19" spans="1:12" ht="19.5" customHeight="1">
      <c r="A19" s="2"/>
      <c r="B19" s="3" t="s">
        <v>57</v>
      </c>
      <c r="C19" s="34" t="s">
        <v>18</v>
      </c>
      <c r="D19" s="18"/>
      <c r="E19" s="18">
        <v>74941000</v>
      </c>
      <c r="F19" s="18">
        <v>81400000</v>
      </c>
      <c r="G19" s="18">
        <v>82000000</v>
      </c>
      <c r="H19" s="18">
        <v>84900000</v>
      </c>
      <c r="I19" s="18">
        <v>85000000</v>
      </c>
      <c r="J19" s="18">
        <v>85200000</v>
      </c>
      <c r="K19" s="19">
        <v>85500000</v>
      </c>
      <c r="L19" s="4">
        <f t="shared" si="1"/>
        <v>103.53658536585367</v>
      </c>
    </row>
    <row r="20" spans="1:12" ht="19.5" customHeight="1">
      <c r="A20" s="2"/>
      <c r="B20" s="6" t="s">
        <v>35</v>
      </c>
      <c r="C20" s="34" t="s">
        <v>19</v>
      </c>
      <c r="D20" s="18"/>
      <c r="E20" s="18">
        <v>48790997</v>
      </c>
      <c r="F20" s="18">
        <v>44100000</v>
      </c>
      <c r="G20" s="18">
        <v>44000000</v>
      </c>
      <c r="H20" s="18">
        <v>46000000</v>
      </c>
      <c r="I20" s="18">
        <v>48000000</v>
      </c>
      <c r="J20" s="18">
        <v>48800000</v>
      </c>
      <c r="K20" s="19">
        <v>50000000</v>
      </c>
      <c r="L20" s="4">
        <f t="shared" si="1"/>
        <v>104.54545454545455</v>
      </c>
    </row>
    <row r="21" spans="1:12" ht="68.25" customHeight="1">
      <c r="A21" s="2"/>
      <c r="B21" s="3" t="s">
        <v>58</v>
      </c>
      <c r="C21" s="34" t="s">
        <v>20</v>
      </c>
      <c r="D21" s="18"/>
      <c r="E21" s="18">
        <v>1200000</v>
      </c>
      <c r="F21" s="18">
        <v>2054608</v>
      </c>
      <c r="G21" s="18">
        <v>2200000</v>
      </c>
      <c r="H21" s="18">
        <v>2600000</v>
      </c>
      <c r="I21" s="18">
        <v>2800000</v>
      </c>
      <c r="J21" s="18">
        <v>3000000</v>
      </c>
      <c r="K21" s="19">
        <v>3200000</v>
      </c>
      <c r="L21" s="4">
        <f t="shared" si="1"/>
        <v>118.18181818181819</v>
      </c>
    </row>
    <row r="22" spans="1:12" ht="19.5" customHeight="1">
      <c r="A22" s="2"/>
      <c r="B22" s="6" t="s">
        <v>36</v>
      </c>
      <c r="C22" s="34" t="s">
        <v>21</v>
      </c>
      <c r="D22" s="18"/>
      <c r="E22" s="18">
        <v>3866250</v>
      </c>
      <c r="F22" s="18">
        <v>4850000</v>
      </c>
      <c r="G22" s="18">
        <v>5100000</v>
      </c>
      <c r="H22" s="18">
        <v>6500000</v>
      </c>
      <c r="I22" s="18">
        <v>6800000</v>
      </c>
      <c r="J22" s="18">
        <v>7000000</v>
      </c>
      <c r="K22" s="19">
        <v>7500000</v>
      </c>
      <c r="L22" s="4">
        <f t="shared" si="1"/>
        <v>127.45098039215685</v>
      </c>
    </row>
    <row r="23" spans="1:12" s="8" customFormat="1" ht="19.5" customHeight="1">
      <c r="A23" s="2" t="s">
        <v>37</v>
      </c>
      <c r="B23" s="7" t="s">
        <v>114</v>
      </c>
      <c r="C23" s="34" t="s">
        <v>22</v>
      </c>
      <c r="D23" s="20"/>
      <c r="E23" s="20">
        <f aca="true" t="shared" si="7" ref="E23:K23">SUM(E17:E18)</f>
        <v>250220829</v>
      </c>
      <c r="F23" s="20">
        <f t="shared" si="7"/>
        <v>257004608</v>
      </c>
      <c r="G23" s="20">
        <f t="shared" si="7"/>
        <v>263000000</v>
      </c>
      <c r="H23" s="20">
        <f t="shared" si="7"/>
        <v>274200000</v>
      </c>
      <c r="I23" s="20">
        <f t="shared" si="7"/>
        <v>279900000</v>
      </c>
      <c r="J23" s="20">
        <f t="shared" si="7"/>
        <v>284200000</v>
      </c>
      <c r="K23" s="27">
        <f t="shared" si="7"/>
        <v>290100000</v>
      </c>
      <c r="L23" s="4">
        <f t="shared" si="1"/>
        <v>104.25855513307984</v>
      </c>
    </row>
    <row r="24" spans="1:12" ht="19.5" customHeight="1">
      <c r="A24" s="2" t="s">
        <v>39</v>
      </c>
      <c r="B24" s="6" t="s">
        <v>115</v>
      </c>
      <c r="C24" s="34" t="s">
        <v>23</v>
      </c>
      <c r="D24" s="18"/>
      <c r="E24" s="18">
        <f aca="true" t="shared" si="8" ref="E24:K24">SUM(E25:E27)</f>
        <v>213763829</v>
      </c>
      <c r="F24" s="18">
        <f t="shared" si="8"/>
        <v>198333341</v>
      </c>
      <c r="G24" s="18">
        <f t="shared" si="8"/>
        <v>200975000</v>
      </c>
      <c r="H24" s="18">
        <f t="shared" si="8"/>
        <v>208850000</v>
      </c>
      <c r="I24" s="18">
        <f t="shared" si="8"/>
        <v>214576000</v>
      </c>
      <c r="J24" s="18">
        <f t="shared" si="8"/>
        <v>219368000</v>
      </c>
      <c r="K24" s="19">
        <f t="shared" si="8"/>
        <v>225213000</v>
      </c>
      <c r="L24" s="4">
        <f t="shared" si="1"/>
        <v>103.91839781067299</v>
      </c>
    </row>
    <row r="25" spans="1:12" ht="19.5" customHeight="1">
      <c r="A25" s="2"/>
      <c r="B25" s="6" t="s">
        <v>41</v>
      </c>
      <c r="C25" s="34" t="s">
        <v>80</v>
      </c>
      <c r="D25" s="18"/>
      <c r="E25" s="18">
        <v>53808364</v>
      </c>
      <c r="F25" s="18">
        <v>54500000</v>
      </c>
      <c r="G25" s="18">
        <v>55500000</v>
      </c>
      <c r="H25" s="18">
        <v>56500000</v>
      </c>
      <c r="I25" s="18">
        <v>57500000</v>
      </c>
      <c r="J25" s="18">
        <v>58500000</v>
      </c>
      <c r="K25" s="19">
        <v>60000000</v>
      </c>
      <c r="L25" s="4">
        <f t="shared" si="1"/>
        <v>101.8018018018018</v>
      </c>
    </row>
    <row r="26" spans="1:12" ht="19.5" customHeight="1">
      <c r="A26" s="2"/>
      <c r="B26" s="6" t="s">
        <v>116</v>
      </c>
      <c r="C26" s="34" t="s">
        <v>81</v>
      </c>
      <c r="D26" s="18"/>
      <c r="E26" s="18">
        <v>504277</v>
      </c>
      <c r="F26" s="18">
        <v>1295000</v>
      </c>
      <c r="G26" s="18">
        <v>895000</v>
      </c>
      <c r="H26" s="18">
        <v>683000</v>
      </c>
      <c r="I26" s="18">
        <v>461000</v>
      </c>
      <c r="J26" s="18">
        <v>263000</v>
      </c>
      <c r="K26" s="19">
        <v>115000</v>
      </c>
      <c r="L26" s="4">
        <f t="shared" si="1"/>
        <v>76.31284916201118</v>
      </c>
    </row>
    <row r="27" spans="1:12" ht="19.5" customHeight="1">
      <c r="A27" s="2"/>
      <c r="B27" s="6" t="s">
        <v>43</v>
      </c>
      <c r="C27" s="34" t="s">
        <v>82</v>
      </c>
      <c r="D27" s="18"/>
      <c r="E27" s="18">
        <v>159451188</v>
      </c>
      <c r="F27" s="18">
        <v>142538341</v>
      </c>
      <c r="G27" s="18">
        <v>144580000</v>
      </c>
      <c r="H27" s="18">
        <v>151667000</v>
      </c>
      <c r="I27" s="18">
        <v>156615000</v>
      </c>
      <c r="J27" s="18">
        <v>160605000</v>
      </c>
      <c r="K27" s="19">
        <v>165098000</v>
      </c>
      <c r="L27" s="4">
        <f t="shared" si="1"/>
        <v>104.90178447918109</v>
      </c>
    </row>
    <row r="28" spans="1:12" ht="19.5" customHeight="1">
      <c r="A28" s="2" t="s">
        <v>44</v>
      </c>
      <c r="B28" s="6" t="s">
        <v>138</v>
      </c>
      <c r="C28" s="34" t="s">
        <v>83</v>
      </c>
      <c r="D28" s="18"/>
      <c r="E28" s="18">
        <f aca="true" t="shared" si="9" ref="E28:K28">SUM(E23-E24)</f>
        <v>36457000</v>
      </c>
      <c r="F28" s="18">
        <f t="shared" si="9"/>
        <v>58671267</v>
      </c>
      <c r="G28" s="18">
        <f t="shared" si="9"/>
        <v>62025000</v>
      </c>
      <c r="H28" s="18">
        <f t="shared" si="9"/>
        <v>65350000</v>
      </c>
      <c r="I28" s="18">
        <f t="shared" si="9"/>
        <v>65324000</v>
      </c>
      <c r="J28" s="18">
        <f t="shared" si="9"/>
        <v>64832000</v>
      </c>
      <c r="K28" s="19">
        <f t="shared" si="9"/>
        <v>64887000</v>
      </c>
      <c r="L28" s="4">
        <f t="shared" si="1"/>
        <v>105.36074163643691</v>
      </c>
    </row>
    <row r="29" spans="1:12" ht="31.5">
      <c r="A29" s="2" t="s">
        <v>14</v>
      </c>
      <c r="B29" s="3" t="s">
        <v>137</v>
      </c>
      <c r="C29" s="34" t="s">
        <v>84</v>
      </c>
      <c r="D29" s="18"/>
      <c r="E29" s="18">
        <f aca="true" t="shared" si="10" ref="E29:K29">SUM(E30:E32)</f>
        <v>1653427</v>
      </c>
      <c r="F29" s="18">
        <f t="shared" si="10"/>
        <v>4171267</v>
      </c>
      <c r="G29" s="18">
        <f t="shared" si="10"/>
        <v>3758640</v>
      </c>
      <c r="H29" s="18">
        <f t="shared" si="10"/>
        <v>2916667</v>
      </c>
      <c r="I29" s="18">
        <f t="shared" si="10"/>
        <v>1666667</v>
      </c>
      <c r="J29" s="18">
        <f t="shared" si="10"/>
        <v>1666667</v>
      </c>
      <c r="K29" s="18">
        <f t="shared" si="10"/>
        <v>1666665</v>
      </c>
      <c r="L29" s="4">
        <f t="shared" si="1"/>
        <v>77.59899857395229</v>
      </c>
    </row>
    <row r="30" spans="1:12" ht="15.75">
      <c r="A30" s="2"/>
      <c r="B30" s="3" t="s">
        <v>122</v>
      </c>
      <c r="C30" s="34" t="s">
        <v>85</v>
      </c>
      <c r="D30" s="18"/>
      <c r="E30" s="18">
        <v>1250000</v>
      </c>
      <c r="F30" s="18">
        <v>1250000</v>
      </c>
      <c r="G30" s="18">
        <v>1250000</v>
      </c>
      <c r="H30" s="18">
        <v>1250000</v>
      </c>
      <c r="I30" s="18"/>
      <c r="J30" s="18"/>
      <c r="K30" s="19"/>
      <c r="L30" s="4"/>
    </row>
    <row r="31" spans="1:12" ht="15.75">
      <c r="A31" s="2"/>
      <c r="B31" s="3" t="s">
        <v>123</v>
      </c>
      <c r="C31" s="34" t="s">
        <v>86</v>
      </c>
      <c r="D31" s="18"/>
      <c r="E31" s="18"/>
      <c r="F31" s="18">
        <v>1666667</v>
      </c>
      <c r="G31" s="18">
        <v>1666667</v>
      </c>
      <c r="H31" s="18">
        <v>1666667</v>
      </c>
      <c r="I31" s="18">
        <v>1666667</v>
      </c>
      <c r="J31" s="18">
        <v>1666667</v>
      </c>
      <c r="K31" s="18">
        <v>1666665</v>
      </c>
      <c r="L31" s="4"/>
    </row>
    <row r="32" spans="1:12" ht="15.75">
      <c r="A32" s="2"/>
      <c r="B32" s="3" t="s">
        <v>124</v>
      </c>
      <c r="C32" s="34" t="s">
        <v>87</v>
      </c>
      <c r="D32" s="18"/>
      <c r="E32" s="18">
        <v>403427</v>
      </c>
      <c r="F32" s="18">
        <v>1254600</v>
      </c>
      <c r="G32" s="18">
        <v>841973</v>
      </c>
      <c r="H32" s="18"/>
      <c r="I32" s="18"/>
      <c r="J32" s="18"/>
      <c r="K32" s="19"/>
      <c r="L32" s="4"/>
    </row>
    <row r="33" spans="1:12" ht="19.5" customHeight="1">
      <c r="A33" s="2" t="s">
        <v>15</v>
      </c>
      <c r="B33" s="6" t="s">
        <v>118</v>
      </c>
      <c r="C33" s="34" t="s">
        <v>88</v>
      </c>
      <c r="D33" s="18"/>
      <c r="E33" s="18">
        <f aca="true" t="shared" si="11" ref="E33:K33">SUM(E28-E29)</f>
        <v>34803573</v>
      </c>
      <c r="F33" s="18">
        <f t="shared" si="11"/>
        <v>54500000</v>
      </c>
      <c r="G33" s="18">
        <f t="shared" si="11"/>
        <v>58266360</v>
      </c>
      <c r="H33" s="18">
        <f t="shared" si="11"/>
        <v>62433333</v>
      </c>
      <c r="I33" s="18">
        <f t="shared" si="11"/>
        <v>63657333</v>
      </c>
      <c r="J33" s="18">
        <f t="shared" si="11"/>
        <v>63165333</v>
      </c>
      <c r="K33" s="18">
        <f t="shared" si="11"/>
        <v>63220335</v>
      </c>
      <c r="L33" s="4">
        <f aca="true" t="shared" si="12" ref="L33:L39">H33/G33*100</f>
        <v>107.1515931319547</v>
      </c>
    </row>
    <row r="34" spans="1:12" ht="19.5" customHeight="1">
      <c r="A34" s="2" t="s">
        <v>16</v>
      </c>
      <c r="B34" s="6" t="s">
        <v>119</v>
      </c>
      <c r="C34" s="34" t="s">
        <v>89</v>
      </c>
      <c r="D34" s="18"/>
      <c r="E34" s="18">
        <f aca="true" t="shared" si="13" ref="E34:K34">SUM(E35:E36)</f>
        <v>46457000</v>
      </c>
      <c r="F34" s="18">
        <f t="shared" si="13"/>
        <v>55500000</v>
      </c>
      <c r="G34" s="18">
        <f t="shared" si="13"/>
        <v>58266360</v>
      </c>
      <c r="H34" s="18">
        <f t="shared" si="13"/>
        <v>62433333</v>
      </c>
      <c r="I34" s="18">
        <f t="shared" si="13"/>
        <v>63657333</v>
      </c>
      <c r="J34" s="18">
        <f t="shared" si="13"/>
        <v>63165333</v>
      </c>
      <c r="K34" s="19">
        <f t="shared" si="13"/>
        <v>63220335</v>
      </c>
      <c r="L34" s="4">
        <f t="shared" si="12"/>
        <v>107.1515931319547</v>
      </c>
    </row>
    <row r="35" spans="1:12" ht="19.5" customHeight="1">
      <c r="A35" s="2"/>
      <c r="B35" s="6" t="s">
        <v>48</v>
      </c>
      <c r="C35" s="34" t="s">
        <v>90</v>
      </c>
      <c r="D35" s="18"/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9">
        <v>0</v>
      </c>
      <c r="L35" s="4" t="e">
        <f t="shared" si="12"/>
        <v>#DIV/0!</v>
      </c>
    </row>
    <row r="36" spans="1:12" ht="19.5" customHeight="1">
      <c r="A36" s="2"/>
      <c r="B36" s="6" t="s">
        <v>49</v>
      </c>
      <c r="C36" s="34" t="s">
        <v>91</v>
      </c>
      <c r="D36" s="18"/>
      <c r="E36" s="18">
        <v>46457000</v>
      </c>
      <c r="F36" s="18">
        <v>55500000</v>
      </c>
      <c r="G36" s="18">
        <v>58266360</v>
      </c>
      <c r="H36" s="18">
        <v>62433333</v>
      </c>
      <c r="I36" s="18">
        <v>63657333</v>
      </c>
      <c r="J36" s="18">
        <v>63165333</v>
      </c>
      <c r="K36" s="19">
        <v>63220335</v>
      </c>
      <c r="L36" s="4">
        <f t="shared" si="12"/>
        <v>107.1515931319547</v>
      </c>
    </row>
    <row r="37" spans="1:12" ht="17.25">
      <c r="A37" s="2" t="s">
        <v>17</v>
      </c>
      <c r="B37" s="30" t="s">
        <v>127</v>
      </c>
      <c r="C37" s="34" t="s">
        <v>92</v>
      </c>
      <c r="D37" s="18"/>
      <c r="E37" s="18">
        <f aca="true" t="shared" si="14" ref="E37:K37">SUM(E28-E34)</f>
        <v>-10000000</v>
      </c>
      <c r="F37" s="18">
        <f t="shared" si="14"/>
        <v>3171267</v>
      </c>
      <c r="G37" s="18">
        <f t="shared" si="14"/>
        <v>3758640</v>
      </c>
      <c r="H37" s="18">
        <f t="shared" si="14"/>
        <v>2916667</v>
      </c>
      <c r="I37" s="18">
        <f t="shared" si="14"/>
        <v>1666667</v>
      </c>
      <c r="J37" s="18">
        <f t="shared" si="14"/>
        <v>1666667</v>
      </c>
      <c r="K37" s="19">
        <f t="shared" si="14"/>
        <v>1666665</v>
      </c>
      <c r="L37" s="4">
        <f t="shared" si="12"/>
        <v>77.59899857395229</v>
      </c>
    </row>
    <row r="38" spans="1:12" ht="51.75">
      <c r="A38" s="2" t="s">
        <v>18</v>
      </c>
      <c r="B38" s="30" t="s">
        <v>120</v>
      </c>
      <c r="C38" s="34" t="s">
        <v>93</v>
      </c>
      <c r="D38" s="18"/>
      <c r="E38" s="18">
        <f aca="true" t="shared" si="15" ref="E38:K38">SUM(E33-E34)</f>
        <v>-11653427</v>
      </c>
      <c r="F38" s="18">
        <f t="shared" si="15"/>
        <v>-1000000</v>
      </c>
      <c r="G38" s="18">
        <f t="shared" si="15"/>
        <v>0</v>
      </c>
      <c r="H38" s="18">
        <f t="shared" si="15"/>
        <v>0</v>
      </c>
      <c r="I38" s="18">
        <f t="shared" si="15"/>
        <v>0</v>
      </c>
      <c r="J38" s="18">
        <f t="shared" si="15"/>
        <v>0</v>
      </c>
      <c r="K38" s="19">
        <f t="shared" si="15"/>
        <v>0</v>
      </c>
      <c r="L38" s="4" t="e">
        <f t="shared" si="12"/>
        <v>#DIV/0!</v>
      </c>
    </row>
    <row r="39" spans="1:12" ht="31.5">
      <c r="A39" s="2" t="s">
        <v>19</v>
      </c>
      <c r="B39" s="9" t="s">
        <v>121</v>
      </c>
      <c r="C39" s="34" t="s">
        <v>94</v>
      </c>
      <c r="D39" s="18"/>
      <c r="E39" s="18">
        <f aca="true" t="shared" si="16" ref="E39:K39">SUM(E40:E41)</f>
        <v>11000000</v>
      </c>
      <c r="F39" s="18">
        <f t="shared" si="16"/>
        <v>1000000</v>
      </c>
      <c r="G39" s="18">
        <f t="shared" si="16"/>
        <v>0</v>
      </c>
      <c r="H39" s="18">
        <f t="shared" si="16"/>
        <v>0</v>
      </c>
      <c r="I39" s="18">
        <f t="shared" si="16"/>
        <v>0</v>
      </c>
      <c r="J39" s="18">
        <f t="shared" si="16"/>
        <v>0</v>
      </c>
      <c r="K39" s="19">
        <f t="shared" si="16"/>
        <v>0</v>
      </c>
      <c r="L39" s="4" t="e">
        <f t="shared" si="12"/>
        <v>#DIV/0!</v>
      </c>
    </row>
    <row r="40" spans="1:12" ht="19.5" customHeight="1">
      <c r="A40" s="2"/>
      <c r="B40" s="6" t="s">
        <v>50</v>
      </c>
      <c r="C40" s="34" t="s">
        <v>95</v>
      </c>
      <c r="D40" s="18"/>
      <c r="E40" s="18">
        <v>10000000</v>
      </c>
      <c r="F40" s="18"/>
      <c r="G40" s="18"/>
      <c r="H40" s="18"/>
      <c r="I40" s="18"/>
      <c r="J40" s="18"/>
      <c r="K40" s="19"/>
      <c r="L40" s="4"/>
    </row>
    <row r="41" spans="1:12" ht="15.75">
      <c r="A41" s="2"/>
      <c r="B41" s="3" t="s">
        <v>77</v>
      </c>
      <c r="C41" s="34" t="s">
        <v>96</v>
      </c>
      <c r="D41" s="18"/>
      <c r="E41" s="18">
        <v>1000000</v>
      </c>
      <c r="F41" s="18">
        <v>1000000</v>
      </c>
      <c r="G41" s="18"/>
      <c r="H41" s="18"/>
      <c r="I41" s="18"/>
      <c r="J41" s="18"/>
      <c r="K41" s="19"/>
      <c r="L41" s="4"/>
    </row>
    <row r="42" spans="1:12" ht="31.5">
      <c r="A42" s="2" t="s">
        <v>20</v>
      </c>
      <c r="B42" s="9" t="s">
        <v>139</v>
      </c>
      <c r="C42" s="34" t="s">
        <v>97</v>
      </c>
      <c r="D42" s="18"/>
      <c r="E42" s="18">
        <f aca="true" t="shared" si="17" ref="E42:K42">SUM(E38:E39)</f>
        <v>-653427</v>
      </c>
      <c r="F42" s="18">
        <f t="shared" si="17"/>
        <v>0</v>
      </c>
      <c r="G42" s="18">
        <f t="shared" si="17"/>
        <v>0</v>
      </c>
      <c r="H42" s="18">
        <f t="shared" si="17"/>
        <v>0</v>
      </c>
      <c r="I42" s="18">
        <f t="shared" si="17"/>
        <v>0</v>
      </c>
      <c r="J42" s="18">
        <f t="shared" si="17"/>
        <v>0</v>
      </c>
      <c r="K42" s="19">
        <f t="shared" si="17"/>
        <v>0</v>
      </c>
      <c r="L42" s="4" t="e">
        <f>H42/G42*100</f>
        <v>#DIV/0!</v>
      </c>
    </row>
    <row r="43" spans="1:12" ht="19.5" customHeight="1">
      <c r="A43" s="10"/>
      <c r="B43" s="11"/>
      <c r="C43" s="34" t="s">
        <v>98</v>
      </c>
      <c r="D43" s="21"/>
      <c r="E43" s="21"/>
      <c r="F43" s="21"/>
      <c r="G43" s="21"/>
      <c r="H43" s="21"/>
      <c r="I43" s="21"/>
      <c r="J43" s="21"/>
      <c r="K43" s="22"/>
      <c r="L43" s="4"/>
    </row>
    <row r="44" spans="1:12" ht="28.5" customHeight="1" thickBot="1">
      <c r="A44" s="12" t="s">
        <v>21</v>
      </c>
      <c r="B44" s="36" t="s">
        <v>125</v>
      </c>
      <c r="C44" s="34" t="s">
        <v>99</v>
      </c>
      <c r="D44" s="23"/>
      <c r="E44" s="23">
        <v>15846573</v>
      </c>
      <c r="F44" s="23">
        <v>11675306</v>
      </c>
      <c r="G44" s="23">
        <v>7916666</v>
      </c>
      <c r="H44" s="23">
        <v>4999999</v>
      </c>
      <c r="I44" s="23">
        <v>3333332</v>
      </c>
      <c r="J44" s="23">
        <v>1666667</v>
      </c>
      <c r="K44" s="24">
        <v>0</v>
      </c>
      <c r="L44" s="4">
        <f>H44/G44*100</f>
        <v>63.1578874238221</v>
      </c>
    </row>
    <row r="45" spans="1:3" ht="15.75">
      <c r="A45" s="14"/>
      <c r="B45" s="15"/>
      <c r="C45" s="16"/>
    </row>
    <row r="46" spans="1:11" ht="69.75" customHeight="1">
      <c r="A46" s="14"/>
      <c r="B46" s="31" t="s">
        <v>60</v>
      </c>
      <c r="C46" s="32"/>
      <c r="D46" s="33"/>
      <c r="E46" s="33"/>
      <c r="F46" s="33"/>
      <c r="G46" s="33"/>
      <c r="H46" s="33"/>
      <c r="I46" s="33"/>
      <c r="J46" s="33"/>
      <c r="K46" s="33"/>
    </row>
    <row r="47" spans="1:11" ht="51" customHeight="1">
      <c r="A47" s="14"/>
      <c r="B47" s="106" t="s">
        <v>74</v>
      </c>
      <c r="C47" s="106"/>
      <c r="D47" s="106"/>
      <c r="E47" s="106"/>
      <c r="F47" s="106"/>
      <c r="G47" s="106"/>
      <c r="H47" s="106"/>
      <c r="I47" s="5"/>
      <c r="J47" s="5"/>
      <c r="K47" s="5"/>
    </row>
    <row r="48" spans="1:11" ht="67.5" customHeight="1">
      <c r="A48" s="14"/>
      <c r="B48" s="106" t="s">
        <v>78</v>
      </c>
      <c r="C48" s="106"/>
      <c r="D48" s="106"/>
      <c r="E48" s="106"/>
      <c r="F48" s="106"/>
      <c r="G48" s="106"/>
      <c r="H48" s="106"/>
      <c r="I48" s="5"/>
      <c r="J48" s="5"/>
      <c r="K48" s="5"/>
    </row>
    <row r="49" spans="1:11" ht="18.75">
      <c r="A49" s="14"/>
      <c r="B49" s="31"/>
      <c r="C49" s="32"/>
      <c r="D49" s="33"/>
      <c r="E49" s="33"/>
      <c r="F49" s="33"/>
      <c r="G49" s="33"/>
      <c r="H49" s="33"/>
      <c r="I49" s="33"/>
      <c r="J49" s="33"/>
      <c r="K49" s="33"/>
    </row>
    <row r="50" spans="1:11" ht="18.75">
      <c r="A50" s="14"/>
      <c r="B50" s="31"/>
      <c r="C50" s="32"/>
      <c r="D50" s="33"/>
      <c r="E50" s="33"/>
      <c r="F50" s="33"/>
      <c r="G50" s="33"/>
      <c r="H50" s="33"/>
      <c r="I50" s="33"/>
      <c r="J50" s="33"/>
      <c r="K50" s="33"/>
    </row>
    <row r="51" spans="1:11" ht="18.75">
      <c r="A51" s="14"/>
      <c r="B51" s="31" t="s">
        <v>75</v>
      </c>
      <c r="C51" s="32"/>
      <c r="D51" s="33"/>
      <c r="E51" s="33"/>
      <c r="F51" s="33"/>
      <c r="G51" s="33"/>
      <c r="H51" s="33"/>
      <c r="I51" s="33"/>
      <c r="J51" s="33"/>
      <c r="K51" s="33"/>
    </row>
    <row r="52" spans="1:11" ht="18.75">
      <c r="A52" s="14"/>
      <c r="B52" s="114" t="s">
        <v>61</v>
      </c>
      <c r="C52" s="114"/>
      <c r="D52" s="114"/>
      <c r="E52" s="114"/>
      <c r="F52" s="114"/>
      <c r="G52" s="114"/>
      <c r="H52" s="114"/>
      <c r="I52" s="5"/>
      <c r="J52" s="5"/>
      <c r="K52" s="5"/>
    </row>
    <row r="53" spans="1:11" ht="18.75">
      <c r="A53" s="14"/>
      <c r="B53" s="31"/>
      <c r="C53" s="32"/>
      <c r="D53" s="33"/>
      <c r="E53" s="33"/>
      <c r="F53" s="33"/>
      <c r="G53" s="33"/>
      <c r="H53" s="33"/>
      <c r="I53" s="33"/>
      <c r="J53" s="33"/>
      <c r="K53" s="33"/>
    </row>
    <row r="54" spans="1:11" ht="18.75">
      <c r="A54" s="14"/>
      <c r="B54" s="31"/>
      <c r="C54" s="32"/>
      <c r="D54" s="33"/>
      <c r="E54" s="33"/>
      <c r="F54" s="33"/>
      <c r="G54" s="33"/>
      <c r="H54" s="33"/>
      <c r="I54" s="33"/>
      <c r="J54" s="33"/>
      <c r="K54" s="33"/>
    </row>
    <row r="55" spans="1:11" ht="90" customHeight="1">
      <c r="A55" s="14"/>
      <c r="B55" s="31"/>
      <c r="C55" s="32"/>
      <c r="D55" s="33"/>
      <c r="E55" s="33"/>
      <c r="F55" s="33"/>
      <c r="G55" s="33"/>
      <c r="H55" s="33"/>
      <c r="I55" s="33"/>
      <c r="J55" s="33"/>
      <c r="K55" s="33"/>
    </row>
    <row r="56" spans="1:11" ht="18.75">
      <c r="A56" s="14"/>
      <c r="B56" s="31"/>
      <c r="C56" s="115" t="s">
        <v>76</v>
      </c>
      <c r="D56" s="115"/>
      <c r="E56" s="115"/>
      <c r="F56" s="115"/>
      <c r="G56" s="115"/>
      <c r="H56" s="115"/>
      <c r="I56" s="5"/>
      <c r="J56" s="5"/>
      <c r="K56" s="5"/>
    </row>
    <row r="57" spans="1:11" ht="18.75">
      <c r="A57" s="14"/>
      <c r="B57" s="31"/>
      <c r="C57" s="116" t="s">
        <v>62</v>
      </c>
      <c r="D57" s="116"/>
      <c r="E57" s="116"/>
      <c r="F57" s="116"/>
      <c r="G57" s="116"/>
      <c r="H57" s="116"/>
      <c r="I57" s="5"/>
      <c r="J57" s="5"/>
      <c r="K57" s="5"/>
    </row>
    <row r="58" spans="1:3" ht="15.75">
      <c r="A58" s="14"/>
      <c r="B58" s="15"/>
      <c r="C58" s="16"/>
    </row>
    <row r="59" spans="1:3" ht="15.75">
      <c r="A59" s="14"/>
      <c r="B59" s="15"/>
      <c r="C59" s="16"/>
    </row>
    <row r="60" spans="1:3" ht="15.75">
      <c r="A60" s="14"/>
      <c r="B60" s="15"/>
      <c r="C60" s="16"/>
    </row>
    <row r="61" spans="1:3" ht="15.75">
      <c r="A61" s="14"/>
      <c r="B61" s="15"/>
      <c r="C61" s="16"/>
    </row>
    <row r="62" spans="1:3" ht="15.75">
      <c r="A62" s="14"/>
      <c r="B62" s="15"/>
      <c r="C62" s="16"/>
    </row>
    <row r="63" spans="1:3" ht="15.75">
      <c r="A63" s="14"/>
      <c r="B63" s="15"/>
      <c r="C63" s="16"/>
    </row>
    <row r="64" spans="1:3" ht="15.75">
      <c r="A64" s="14"/>
      <c r="B64" s="15"/>
      <c r="C64" s="16"/>
    </row>
    <row r="65" spans="1:11" ht="15.75">
      <c r="A65" s="113" t="s">
        <v>15</v>
      </c>
      <c r="B65" s="113"/>
      <c r="C65" s="113"/>
      <c r="D65" s="113"/>
      <c r="E65" s="113"/>
      <c r="F65" s="113"/>
      <c r="G65" s="113"/>
      <c r="H65" s="113"/>
      <c r="I65" s="5"/>
      <c r="J65" s="5"/>
      <c r="K65" s="5"/>
    </row>
    <row r="66" spans="1:3" ht="15.75">
      <c r="A66" s="14"/>
      <c r="B66" s="15"/>
      <c r="C66" s="16"/>
    </row>
    <row r="67" spans="1:3" ht="15.75">
      <c r="A67" s="14"/>
      <c r="B67" s="15"/>
      <c r="C67" s="16"/>
    </row>
    <row r="68" spans="1:3" ht="15.75">
      <c r="A68" s="14"/>
      <c r="B68" s="15"/>
      <c r="C68" s="16"/>
    </row>
    <row r="69" spans="1:3" ht="15.75">
      <c r="A69" s="14"/>
      <c r="B69" s="15"/>
      <c r="C69" s="16"/>
    </row>
    <row r="70" spans="1:3" ht="15.75">
      <c r="A70" s="14"/>
      <c r="B70" s="15"/>
      <c r="C70" s="16"/>
    </row>
    <row r="71" spans="1:3" ht="15.75">
      <c r="A71" s="14"/>
      <c r="B71" s="15"/>
      <c r="C71" s="16"/>
    </row>
    <row r="72" spans="1:3" ht="15.75">
      <c r="A72" s="14"/>
      <c r="B72" s="15"/>
      <c r="C72" s="16"/>
    </row>
    <row r="73" spans="1:3" ht="15.75">
      <c r="A73" s="14"/>
      <c r="B73" s="15"/>
      <c r="C73" s="16"/>
    </row>
    <row r="74" spans="1:3" ht="15.75">
      <c r="A74" s="14"/>
      <c r="B74" s="15"/>
      <c r="C74" s="16"/>
    </row>
    <row r="75" spans="1:3" ht="15.75">
      <c r="A75" s="14"/>
      <c r="B75" s="15"/>
      <c r="C75" s="16"/>
    </row>
    <row r="76" spans="1:3" ht="15.75">
      <c r="A76" s="14"/>
      <c r="B76" s="15"/>
      <c r="C76" s="16"/>
    </row>
    <row r="77" spans="1:3" ht="15.75">
      <c r="A77" s="14"/>
      <c r="B77" s="15"/>
      <c r="C77" s="16"/>
    </row>
    <row r="78" spans="1:3" ht="15.75">
      <c r="A78" s="14"/>
      <c r="B78" s="15"/>
      <c r="C78" s="16"/>
    </row>
    <row r="79" spans="1:3" ht="15.75">
      <c r="A79" s="14"/>
      <c r="B79" s="15"/>
      <c r="C79" s="16"/>
    </row>
    <row r="80" spans="1:3" ht="15.75">
      <c r="A80" s="14"/>
      <c r="B80" s="15"/>
      <c r="C80" s="16"/>
    </row>
    <row r="81" spans="1:3" ht="15.75">
      <c r="A81" s="14"/>
      <c r="B81" s="15"/>
      <c r="C81" s="16"/>
    </row>
    <row r="82" spans="1:3" ht="15.75">
      <c r="A82" s="14"/>
      <c r="B82" s="15"/>
      <c r="C82" s="16"/>
    </row>
    <row r="83" spans="1:3" ht="15.75">
      <c r="A83" s="14"/>
      <c r="B83" s="15"/>
      <c r="C83" s="16"/>
    </row>
    <row r="84" spans="1:3" ht="15.75">
      <c r="A84" s="14"/>
      <c r="B84" s="15"/>
      <c r="C84" s="16"/>
    </row>
    <row r="85" spans="1:3" ht="15.75">
      <c r="A85" s="14"/>
      <c r="B85" s="15"/>
      <c r="C85" s="16"/>
    </row>
    <row r="86" spans="1:3" ht="15.75">
      <c r="A86" s="14"/>
      <c r="B86" s="15"/>
      <c r="C86" s="16"/>
    </row>
    <row r="87" spans="1:3" ht="15.75">
      <c r="A87" s="14"/>
      <c r="B87" s="15"/>
      <c r="C87" s="16"/>
    </row>
    <row r="88" spans="1:3" ht="15.75">
      <c r="A88" s="14"/>
      <c r="B88" s="15"/>
      <c r="C88" s="16"/>
    </row>
    <row r="89" spans="1:3" ht="15.75">
      <c r="A89" s="14"/>
      <c r="B89" s="15"/>
      <c r="C89" s="16"/>
    </row>
    <row r="90" spans="1:3" ht="15.75">
      <c r="A90" s="14"/>
      <c r="B90" s="15"/>
      <c r="C90" s="16"/>
    </row>
    <row r="91" spans="1:3" ht="15.75">
      <c r="A91" s="14"/>
      <c r="B91" s="15"/>
      <c r="C91" s="16"/>
    </row>
    <row r="92" spans="1:3" ht="15.75">
      <c r="A92" s="14"/>
      <c r="B92" s="15"/>
      <c r="C92" s="16"/>
    </row>
    <row r="93" spans="1:3" ht="15.75">
      <c r="A93" s="14"/>
      <c r="B93" s="15"/>
      <c r="C93" s="16"/>
    </row>
    <row r="94" spans="1:3" ht="15.75">
      <c r="A94" s="14"/>
      <c r="B94" s="15"/>
      <c r="C94" s="16"/>
    </row>
    <row r="95" spans="1:3" ht="15.75">
      <c r="A95" s="14"/>
      <c r="B95" s="15"/>
      <c r="C95" s="16"/>
    </row>
    <row r="96" spans="1:3" ht="15.75">
      <c r="A96" s="14"/>
      <c r="B96" s="15"/>
      <c r="C96" s="16"/>
    </row>
    <row r="97" spans="1:3" ht="15.75">
      <c r="A97" s="14"/>
      <c r="B97" s="15"/>
      <c r="C97" s="16"/>
    </row>
    <row r="98" spans="1:3" ht="15.75">
      <c r="A98" s="14"/>
      <c r="B98" s="15"/>
      <c r="C98" s="16"/>
    </row>
    <row r="99" spans="1:3" ht="15.75">
      <c r="A99" s="14"/>
      <c r="B99" s="15"/>
      <c r="C99" s="16"/>
    </row>
    <row r="100" spans="1:3" ht="15.75">
      <c r="A100" s="14"/>
      <c r="B100" s="15"/>
      <c r="C100" s="16"/>
    </row>
    <row r="101" spans="1:3" ht="15.75">
      <c r="A101" s="14"/>
      <c r="B101" s="15"/>
      <c r="C101" s="16"/>
    </row>
    <row r="102" spans="1:3" ht="15.75">
      <c r="A102" s="14"/>
      <c r="B102" s="15"/>
      <c r="C102" s="16"/>
    </row>
    <row r="103" spans="1:3" ht="15.75">
      <c r="A103" s="14"/>
      <c r="B103" s="15"/>
      <c r="C103" s="16"/>
    </row>
    <row r="104" spans="1:3" ht="15.75">
      <c r="A104" s="14"/>
      <c r="B104" s="15"/>
      <c r="C104" s="16"/>
    </row>
    <row r="105" spans="1:3" ht="15.75">
      <c r="A105" s="14"/>
      <c r="B105" s="15"/>
      <c r="C105" s="16"/>
    </row>
    <row r="106" spans="1:3" ht="15.75">
      <c r="A106" s="14"/>
      <c r="B106" s="15"/>
      <c r="C106" s="16"/>
    </row>
    <row r="107" spans="1:3" ht="15.75">
      <c r="A107" s="14"/>
      <c r="B107" s="15"/>
      <c r="C107" s="16"/>
    </row>
    <row r="108" spans="1:3" ht="15.75">
      <c r="A108" s="14"/>
      <c r="B108" s="15"/>
      <c r="C108" s="16"/>
    </row>
    <row r="109" spans="1:3" ht="15.75">
      <c r="A109" s="14"/>
      <c r="B109" s="15"/>
      <c r="C109" s="16"/>
    </row>
    <row r="110" spans="1:3" ht="15.75">
      <c r="A110" s="14"/>
      <c r="B110" s="15"/>
      <c r="C110" s="16"/>
    </row>
    <row r="111" spans="1:3" ht="15.75">
      <c r="A111" s="14"/>
      <c r="B111" s="15"/>
      <c r="C111" s="16"/>
    </row>
    <row r="112" spans="1:3" ht="15.75">
      <c r="A112" s="14"/>
      <c r="B112" s="15"/>
      <c r="C112" s="16"/>
    </row>
    <row r="113" spans="1:3" ht="15.75">
      <c r="A113" s="14"/>
      <c r="B113" s="15"/>
      <c r="C113" s="16"/>
    </row>
    <row r="114" spans="1:3" ht="15.75">
      <c r="A114" s="14"/>
      <c r="B114" s="15"/>
      <c r="C114" s="16"/>
    </row>
    <row r="115" spans="1:3" ht="15.75">
      <c r="A115" s="14"/>
      <c r="B115" s="15"/>
      <c r="C115" s="16"/>
    </row>
    <row r="116" spans="1:3" ht="15.75">
      <c r="A116" s="14"/>
      <c r="B116" s="15"/>
      <c r="C116" s="16"/>
    </row>
    <row r="117" spans="1:3" ht="15.75">
      <c r="A117" s="14"/>
      <c r="B117" s="15"/>
      <c r="C117" s="16"/>
    </row>
    <row r="118" spans="1:3" ht="15.75">
      <c r="A118" s="14"/>
      <c r="B118" s="15"/>
      <c r="C118" s="16"/>
    </row>
    <row r="119" spans="1:3" ht="15.75">
      <c r="A119" s="14"/>
      <c r="B119" s="15"/>
      <c r="C119" s="16"/>
    </row>
    <row r="120" spans="1:3" ht="15.75">
      <c r="A120" s="14"/>
      <c r="B120" s="15"/>
      <c r="C120" s="16"/>
    </row>
    <row r="121" spans="1:3" ht="15.75">
      <c r="A121" s="14"/>
      <c r="B121" s="15"/>
      <c r="C121" s="16"/>
    </row>
    <row r="122" spans="1:3" ht="15.75">
      <c r="A122" s="14"/>
      <c r="B122" s="15"/>
      <c r="C122" s="16"/>
    </row>
    <row r="123" spans="1:3" ht="15.75">
      <c r="A123" s="14"/>
      <c r="B123" s="15"/>
      <c r="C123" s="16"/>
    </row>
    <row r="124" spans="1:3" ht="15.75">
      <c r="A124" s="14"/>
      <c r="B124" s="15"/>
      <c r="C124" s="16"/>
    </row>
    <row r="125" spans="1:3" ht="15.75">
      <c r="A125" s="14"/>
      <c r="B125" s="15"/>
      <c r="C125" s="16"/>
    </row>
    <row r="126" spans="1:3" ht="15.75">
      <c r="A126" s="14"/>
      <c r="B126" s="15"/>
      <c r="C126" s="16"/>
    </row>
    <row r="127" spans="1:3" ht="15.75">
      <c r="A127" s="14"/>
      <c r="B127" s="15"/>
      <c r="C127" s="16"/>
    </row>
    <row r="128" spans="1:3" ht="15.75">
      <c r="A128" s="14"/>
      <c r="B128" s="15"/>
      <c r="C128" s="16"/>
    </row>
    <row r="129" spans="1:3" ht="15.75">
      <c r="A129" s="14"/>
      <c r="B129" s="15"/>
      <c r="C129" s="16"/>
    </row>
    <row r="130" spans="1:3" ht="15.75">
      <c r="A130" s="14"/>
      <c r="B130" s="15"/>
      <c r="C130" s="16"/>
    </row>
    <row r="131" spans="1:3" ht="15.75">
      <c r="A131" s="14"/>
      <c r="B131" s="15"/>
      <c r="C131" s="16"/>
    </row>
    <row r="132" spans="1:3" ht="15.75">
      <c r="A132" s="14"/>
      <c r="B132" s="15"/>
      <c r="C132" s="16"/>
    </row>
    <row r="133" spans="1:3" ht="15.75">
      <c r="A133" s="14"/>
      <c r="B133" s="15"/>
      <c r="C133" s="16"/>
    </row>
    <row r="134" spans="1:3" ht="15.75">
      <c r="A134" s="14"/>
      <c r="B134" s="15"/>
      <c r="C134" s="16"/>
    </row>
    <row r="135" spans="1:3" ht="15.75">
      <c r="A135" s="14"/>
      <c r="B135" s="15"/>
      <c r="C135" s="16"/>
    </row>
    <row r="136" spans="1:3" ht="15.75">
      <c r="A136" s="14"/>
      <c r="B136" s="15"/>
      <c r="C136" s="16"/>
    </row>
    <row r="137" spans="1:3" ht="15.75">
      <c r="A137" s="14"/>
      <c r="B137" s="15"/>
      <c r="C137" s="16"/>
    </row>
    <row r="138" spans="1:3" ht="15.75">
      <c r="A138" s="14"/>
      <c r="B138" s="15"/>
      <c r="C138" s="16"/>
    </row>
    <row r="139" spans="1:3" ht="15.75">
      <c r="A139" s="14"/>
      <c r="B139" s="15"/>
      <c r="C139" s="16"/>
    </row>
    <row r="140" spans="1:3" ht="15.75">
      <c r="A140" s="14"/>
      <c r="B140" s="15"/>
      <c r="C140" s="16"/>
    </row>
    <row r="141" spans="1:3" ht="15.75">
      <c r="A141" s="14"/>
      <c r="B141" s="15"/>
      <c r="C141" s="16"/>
    </row>
    <row r="142" spans="1:3" ht="15.75">
      <c r="A142" s="14"/>
      <c r="B142" s="15"/>
      <c r="C142" s="16"/>
    </row>
    <row r="143" spans="1:3" ht="15.75">
      <c r="A143" s="14"/>
      <c r="B143" s="15"/>
      <c r="C143" s="16"/>
    </row>
    <row r="144" spans="1:3" ht="15.75">
      <c r="A144" s="14"/>
      <c r="B144" s="15"/>
      <c r="C144" s="16"/>
    </row>
    <row r="145" spans="1:3" ht="15.75">
      <c r="A145" s="14"/>
      <c r="B145" s="15"/>
      <c r="C145" s="16"/>
    </row>
    <row r="146" spans="1:3" ht="15.75">
      <c r="A146" s="14"/>
      <c r="B146" s="15"/>
      <c r="C146" s="16"/>
    </row>
    <row r="147" spans="1:3" ht="15.75">
      <c r="A147" s="14"/>
      <c r="B147" s="15"/>
      <c r="C147" s="16"/>
    </row>
    <row r="148" spans="1:3" ht="15.75">
      <c r="A148" s="14"/>
      <c r="B148" s="15"/>
      <c r="C148" s="16"/>
    </row>
    <row r="149" spans="1:3" ht="15.75">
      <c r="A149" s="14"/>
      <c r="B149" s="15"/>
      <c r="C149" s="16"/>
    </row>
    <row r="150" spans="1:3" ht="15.75">
      <c r="A150" s="14"/>
      <c r="B150" s="15"/>
      <c r="C150" s="16"/>
    </row>
    <row r="151" spans="1:3" ht="15.75">
      <c r="A151" s="14"/>
      <c r="B151" s="15"/>
      <c r="C151" s="16"/>
    </row>
    <row r="152" spans="1:3" ht="15.75">
      <c r="A152" s="14"/>
      <c r="B152" s="15"/>
      <c r="C152" s="16"/>
    </row>
    <row r="153" spans="1:3" ht="15.75">
      <c r="A153" s="14"/>
      <c r="B153" s="15"/>
      <c r="C153" s="16"/>
    </row>
    <row r="154" spans="1:3" ht="15.75">
      <c r="A154" s="14"/>
      <c r="B154" s="15"/>
      <c r="C154" s="16"/>
    </row>
    <row r="155" spans="1:3" ht="15.75">
      <c r="A155" s="14"/>
      <c r="B155" s="15"/>
      <c r="C155" s="16"/>
    </row>
    <row r="156" spans="1:3" ht="15.75">
      <c r="A156" s="14"/>
      <c r="B156" s="15"/>
      <c r="C156" s="16"/>
    </row>
    <row r="157" spans="1:3" ht="15.75">
      <c r="A157" s="14"/>
      <c r="B157" s="15"/>
      <c r="C157" s="16"/>
    </row>
    <row r="158" spans="1:3" ht="15.75">
      <c r="A158" s="14"/>
      <c r="B158" s="15"/>
      <c r="C158" s="16"/>
    </row>
    <row r="159" spans="1:3" ht="15.75">
      <c r="A159" s="14"/>
      <c r="B159" s="15"/>
      <c r="C159" s="16"/>
    </row>
    <row r="160" spans="1:3" ht="15.75">
      <c r="A160" s="14"/>
      <c r="B160" s="15"/>
      <c r="C160" s="16"/>
    </row>
    <row r="161" spans="1:3" ht="15.75">
      <c r="A161" s="14"/>
      <c r="B161" s="15"/>
      <c r="C161" s="16"/>
    </row>
    <row r="162" spans="1:3" ht="15.75">
      <c r="A162" s="14"/>
      <c r="B162" s="15"/>
      <c r="C162" s="16"/>
    </row>
    <row r="163" spans="1:3" ht="15.75">
      <c r="A163" s="14"/>
      <c r="B163" s="15"/>
      <c r="C163" s="16"/>
    </row>
    <row r="164" spans="1:3" ht="15.75">
      <c r="A164" s="14"/>
      <c r="B164" s="15"/>
      <c r="C164" s="16"/>
    </row>
    <row r="165" spans="1:3" ht="15.75">
      <c r="A165" s="14"/>
      <c r="B165" s="15"/>
      <c r="C165" s="16"/>
    </row>
    <row r="166" spans="1:3" ht="15.75">
      <c r="A166" s="14"/>
      <c r="B166" s="15"/>
      <c r="C166" s="16"/>
    </row>
    <row r="167" spans="1:3" ht="15.75">
      <c r="A167" s="14"/>
      <c r="B167" s="15"/>
      <c r="C167" s="16"/>
    </row>
    <row r="168" spans="1:3" ht="15.75">
      <c r="A168" s="14"/>
      <c r="B168" s="15"/>
      <c r="C168" s="16"/>
    </row>
    <row r="169" spans="1:3" ht="15.75">
      <c r="A169" s="14"/>
      <c r="B169" s="15"/>
      <c r="C169" s="16"/>
    </row>
  </sheetData>
  <mergeCells count="11">
    <mergeCell ref="A65:H65"/>
    <mergeCell ref="B52:H52"/>
    <mergeCell ref="C56:H56"/>
    <mergeCell ref="C57:H57"/>
    <mergeCell ref="A2:K2"/>
    <mergeCell ref="B47:H47"/>
    <mergeCell ref="B48:H48"/>
    <mergeCell ref="C3:C5"/>
    <mergeCell ref="B3:B5"/>
    <mergeCell ref="A3:A5"/>
    <mergeCell ref="D3:K3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82" r:id="rId1"/>
  <rowBreaks count="2" manualBreakCount="2">
    <brk id="23" max="10" man="1"/>
    <brk id="4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2"/>
  <sheetViews>
    <sheetView tabSelected="1" view="pageBreakPreview" zoomScale="65" zoomScaleNormal="75" zoomScaleSheetLayoutView="65" workbookViewId="0" topLeftCell="A1">
      <selection activeCell="A2" sqref="A2:L2"/>
    </sheetView>
  </sheetViews>
  <sheetFormatPr defaultColWidth="9.00390625" defaultRowHeight="12.75"/>
  <cols>
    <col min="1" max="1" width="7.375" style="17" bestFit="1" customWidth="1"/>
    <col min="2" max="2" width="64.25390625" style="5" customWidth="1"/>
    <col min="3" max="12" width="14.25390625" style="1" customWidth="1"/>
    <col min="13" max="16384" width="14.25390625" style="5" customWidth="1"/>
  </cols>
  <sheetData>
    <row r="1" spans="10:12" ht="132.75" customHeight="1" thickBot="1">
      <c r="J1" s="129" t="s">
        <v>223</v>
      </c>
      <c r="K1" s="130"/>
      <c r="L1" s="130"/>
    </row>
    <row r="2" spans="1:13" ht="32.25" customHeight="1">
      <c r="A2" s="126" t="s">
        <v>222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97"/>
    </row>
    <row r="3" spans="1:13" ht="16.5" thickBot="1">
      <c r="A3" s="93"/>
      <c r="B3" s="94"/>
      <c r="C3" s="94"/>
      <c r="D3" s="94"/>
      <c r="E3" s="94"/>
      <c r="F3" s="94"/>
      <c r="G3" s="95"/>
      <c r="H3" s="79"/>
      <c r="I3" s="79"/>
      <c r="J3" s="79"/>
      <c r="K3" s="79"/>
      <c r="L3" s="96" t="s">
        <v>220</v>
      </c>
      <c r="M3" s="98"/>
    </row>
    <row r="4" spans="1:13" s="17" customFormat="1" ht="17.25" customHeight="1">
      <c r="A4" s="131"/>
      <c r="B4" s="124" t="s">
        <v>0</v>
      </c>
      <c r="C4" s="124" t="s">
        <v>1</v>
      </c>
      <c r="D4" s="124"/>
      <c r="E4" s="124"/>
      <c r="F4" s="124"/>
      <c r="G4" s="124"/>
      <c r="H4" s="124"/>
      <c r="I4" s="124"/>
      <c r="J4" s="124"/>
      <c r="K4" s="124"/>
      <c r="L4" s="125"/>
      <c r="M4" s="99"/>
    </row>
    <row r="5" spans="1:13" s="17" customFormat="1" ht="16.5" thickBot="1">
      <c r="A5" s="132"/>
      <c r="B5" s="133"/>
      <c r="C5" s="58">
        <v>2007</v>
      </c>
      <c r="D5" s="58">
        <v>2008</v>
      </c>
      <c r="E5" s="58">
        <v>2009</v>
      </c>
      <c r="F5" s="58">
        <v>2010</v>
      </c>
      <c r="G5" s="58">
        <v>2011</v>
      </c>
      <c r="H5" s="58">
        <v>2012</v>
      </c>
      <c r="I5" s="58">
        <v>2013</v>
      </c>
      <c r="J5" s="58">
        <v>2014</v>
      </c>
      <c r="K5" s="58">
        <v>2015</v>
      </c>
      <c r="L5" s="92">
        <v>2016</v>
      </c>
      <c r="M5" s="55"/>
    </row>
    <row r="6" spans="1:13" s="17" customFormat="1" ht="42" customHeight="1">
      <c r="A6" s="59" t="s">
        <v>179</v>
      </c>
      <c r="B6" s="60" t="s">
        <v>163</v>
      </c>
      <c r="C6" s="81">
        <f>SUM(C7+C10+C11+C12+C13+C14)+C15</f>
        <v>462367.30000000005</v>
      </c>
      <c r="D6" s="81">
        <f aca="true" t="shared" si="0" ref="D6:L6">SUM(D7+D10+D11+D12+D13+D14)+D15</f>
        <v>476471.9</v>
      </c>
      <c r="E6" s="81">
        <f t="shared" si="0"/>
        <v>398200</v>
      </c>
      <c r="F6" s="81">
        <f t="shared" si="0"/>
        <v>402100</v>
      </c>
      <c r="G6" s="81">
        <f t="shared" si="0"/>
        <v>406100</v>
      </c>
      <c r="H6" s="81">
        <f t="shared" si="0"/>
        <v>410200</v>
      </c>
      <c r="I6" s="81">
        <f t="shared" si="0"/>
        <v>414300</v>
      </c>
      <c r="J6" s="81">
        <f t="shared" si="0"/>
        <v>418400</v>
      </c>
      <c r="K6" s="81">
        <f t="shared" si="0"/>
        <v>422600</v>
      </c>
      <c r="L6" s="91">
        <f t="shared" si="0"/>
        <v>427700</v>
      </c>
      <c r="M6" s="55"/>
    </row>
    <row r="7" spans="1:30" ht="42" customHeight="1">
      <c r="A7" s="61" t="s">
        <v>164</v>
      </c>
      <c r="B7" s="62" t="s">
        <v>175</v>
      </c>
      <c r="C7" s="80">
        <f aca="true" t="shared" si="1" ref="C7:L7">SUM(C8:C9)</f>
        <v>5101.5</v>
      </c>
      <c r="D7" s="80">
        <f t="shared" si="1"/>
        <v>10000</v>
      </c>
      <c r="E7" s="80">
        <f t="shared" si="1"/>
        <v>10000</v>
      </c>
      <c r="F7" s="80">
        <f t="shared" si="1"/>
        <v>10000</v>
      </c>
      <c r="G7" s="80">
        <f t="shared" si="1"/>
        <v>10000</v>
      </c>
      <c r="H7" s="80">
        <f t="shared" si="1"/>
        <v>10200</v>
      </c>
      <c r="I7" s="80">
        <f t="shared" si="1"/>
        <v>11000</v>
      </c>
      <c r="J7" s="80">
        <f t="shared" si="1"/>
        <v>11000</v>
      </c>
      <c r="K7" s="80">
        <f t="shared" si="1"/>
        <v>11500</v>
      </c>
      <c r="L7" s="87">
        <f t="shared" si="1"/>
        <v>11500</v>
      </c>
      <c r="M7" s="63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13" ht="42" customHeight="1">
      <c r="A8" s="61" t="s">
        <v>79</v>
      </c>
      <c r="B8" s="64" t="s">
        <v>177</v>
      </c>
      <c r="C8" s="80">
        <v>1908</v>
      </c>
      <c r="D8" s="80">
        <v>5000</v>
      </c>
      <c r="E8" s="80">
        <v>5000</v>
      </c>
      <c r="F8" s="80">
        <v>5000</v>
      </c>
      <c r="G8" s="80">
        <v>5000</v>
      </c>
      <c r="H8" s="80">
        <v>5200</v>
      </c>
      <c r="I8" s="80">
        <v>6000</v>
      </c>
      <c r="J8" s="80">
        <v>6000</v>
      </c>
      <c r="K8" s="80">
        <v>5000</v>
      </c>
      <c r="L8" s="87">
        <v>5000</v>
      </c>
      <c r="M8" s="57"/>
    </row>
    <row r="9" spans="1:13" ht="42" customHeight="1">
      <c r="A9" s="61" t="s">
        <v>12</v>
      </c>
      <c r="B9" s="64" t="s">
        <v>178</v>
      </c>
      <c r="C9" s="80">
        <v>3193.5</v>
      </c>
      <c r="D9" s="80">
        <v>5000</v>
      </c>
      <c r="E9" s="80">
        <v>5000</v>
      </c>
      <c r="F9" s="80">
        <v>5000</v>
      </c>
      <c r="G9" s="80">
        <v>5000</v>
      </c>
      <c r="H9" s="80">
        <v>5000</v>
      </c>
      <c r="I9" s="80">
        <v>5000</v>
      </c>
      <c r="J9" s="80">
        <v>5000</v>
      </c>
      <c r="K9" s="80">
        <v>6500</v>
      </c>
      <c r="L9" s="87">
        <v>6500</v>
      </c>
      <c r="M9" s="57"/>
    </row>
    <row r="10" spans="1:13" ht="42" customHeight="1">
      <c r="A10" s="61" t="s">
        <v>165</v>
      </c>
      <c r="B10" s="62" t="s">
        <v>183</v>
      </c>
      <c r="C10" s="80">
        <f>188684.1-1548.9</f>
        <v>187135.2</v>
      </c>
      <c r="D10" s="80">
        <v>184000</v>
      </c>
      <c r="E10" s="80">
        <v>186000</v>
      </c>
      <c r="F10" s="80">
        <v>187000</v>
      </c>
      <c r="G10" s="80">
        <v>189000</v>
      </c>
      <c r="H10" s="80">
        <v>190000</v>
      </c>
      <c r="I10" s="80">
        <v>190000</v>
      </c>
      <c r="J10" s="80">
        <v>190000</v>
      </c>
      <c r="K10" s="80">
        <v>190000</v>
      </c>
      <c r="L10" s="87">
        <v>190000</v>
      </c>
      <c r="M10" s="57"/>
    </row>
    <row r="11" spans="1:13" ht="42" customHeight="1">
      <c r="A11" s="61" t="s">
        <v>166</v>
      </c>
      <c r="B11" s="62" t="s">
        <v>180</v>
      </c>
      <c r="C11" s="80">
        <f>121939.8+5000+3119.9</f>
        <v>130059.7</v>
      </c>
      <c r="D11" s="80">
        <v>125000</v>
      </c>
      <c r="E11" s="80">
        <v>125000</v>
      </c>
      <c r="F11" s="80">
        <v>125000</v>
      </c>
      <c r="G11" s="80">
        <v>125000</v>
      </c>
      <c r="H11" s="80">
        <v>125000</v>
      </c>
      <c r="I11" s="80">
        <v>128000</v>
      </c>
      <c r="J11" s="80">
        <v>130000</v>
      </c>
      <c r="K11" s="80">
        <v>135000</v>
      </c>
      <c r="L11" s="87">
        <v>135000</v>
      </c>
      <c r="M11" s="57"/>
    </row>
    <row r="12" spans="1:13" ht="42" customHeight="1">
      <c r="A12" s="61" t="s">
        <v>167</v>
      </c>
      <c r="B12" s="64" t="s">
        <v>168</v>
      </c>
      <c r="C12" s="80">
        <f>36935+1790.5</f>
        <v>38725.5</v>
      </c>
      <c r="D12" s="80">
        <v>50300</v>
      </c>
      <c r="E12" s="80">
        <v>53200</v>
      </c>
      <c r="F12" s="80">
        <v>56100</v>
      </c>
      <c r="G12" s="80">
        <v>59100</v>
      </c>
      <c r="H12" s="80">
        <v>60000</v>
      </c>
      <c r="I12" s="80">
        <v>60100</v>
      </c>
      <c r="J12" s="80">
        <v>62000</v>
      </c>
      <c r="K12" s="80">
        <v>60900</v>
      </c>
      <c r="L12" s="87">
        <v>65000</v>
      </c>
      <c r="M12" s="57"/>
    </row>
    <row r="13" spans="1:13" ht="42" customHeight="1">
      <c r="A13" s="61" t="s">
        <v>169</v>
      </c>
      <c r="B13" s="64" t="s">
        <v>170</v>
      </c>
      <c r="C13" s="80">
        <f>15831+4586</f>
        <v>20417</v>
      </c>
      <c r="D13" s="80">
        <v>23000</v>
      </c>
      <c r="E13" s="80">
        <v>22000</v>
      </c>
      <c r="F13" s="80">
        <v>22000</v>
      </c>
      <c r="G13" s="80">
        <v>20000</v>
      </c>
      <c r="H13" s="80">
        <v>22000</v>
      </c>
      <c r="I13" s="80">
        <v>22000</v>
      </c>
      <c r="J13" s="80">
        <v>22000</v>
      </c>
      <c r="K13" s="80">
        <v>22000</v>
      </c>
      <c r="L13" s="87">
        <v>23000</v>
      </c>
      <c r="M13" s="57"/>
    </row>
    <row r="14" spans="1:13" ht="43.5" customHeight="1">
      <c r="A14" s="61" t="s">
        <v>171</v>
      </c>
      <c r="B14" s="62" t="s">
        <v>176</v>
      </c>
      <c r="C14" s="80">
        <v>1618</v>
      </c>
      <c r="D14" s="80">
        <v>2000</v>
      </c>
      <c r="E14" s="80">
        <v>2000</v>
      </c>
      <c r="F14" s="80">
        <v>2000</v>
      </c>
      <c r="G14" s="80">
        <v>3000</v>
      </c>
      <c r="H14" s="80">
        <v>3000</v>
      </c>
      <c r="I14" s="80">
        <v>3200</v>
      </c>
      <c r="J14" s="80">
        <v>3400</v>
      </c>
      <c r="K14" s="80">
        <v>3200</v>
      </c>
      <c r="L14" s="87">
        <v>3200</v>
      </c>
      <c r="M14" s="57"/>
    </row>
    <row r="15" spans="1:13" ht="42" customHeight="1">
      <c r="A15" s="61" t="s">
        <v>181</v>
      </c>
      <c r="B15" s="62" t="s">
        <v>213</v>
      </c>
      <c r="C15" s="80">
        <f>85858.6-6548.2</f>
        <v>79310.40000000001</v>
      </c>
      <c r="D15" s="80">
        <v>82171.9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7">
        <v>0</v>
      </c>
      <c r="M15" s="57"/>
    </row>
    <row r="16" spans="1:13" ht="42" customHeight="1">
      <c r="A16" s="66" t="s">
        <v>172</v>
      </c>
      <c r="B16" s="67" t="s">
        <v>184</v>
      </c>
      <c r="C16" s="83">
        <f aca="true" t="shared" si="2" ref="C16:L16">SUM(C17:C20)</f>
        <v>118853.99999999999</v>
      </c>
      <c r="D16" s="83">
        <f t="shared" si="2"/>
        <v>1447</v>
      </c>
      <c r="E16" s="83">
        <f t="shared" si="2"/>
        <v>2874</v>
      </c>
      <c r="F16" s="83">
        <f t="shared" si="2"/>
        <v>2208</v>
      </c>
      <c r="G16" s="83">
        <f t="shared" si="2"/>
        <v>2255</v>
      </c>
      <c r="H16" s="83">
        <f t="shared" si="2"/>
        <v>1428</v>
      </c>
      <c r="I16" s="83">
        <f t="shared" si="2"/>
        <v>1428</v>
      </c>
      <c r="J16" s="83">
        <f t="shared" si="2"/>
        <v>1428</v>
      </c>
      <c r="K16" s="83">
        <f t="shared" si="2"/>
        <v>1432</v>
      </c>
      <c r="L16" s="88">
        <f t="shared" si="2"/>
        <v>0</v>
      </c>
      <c r="M16" s="57"/>
    </row>
    <row r="17" spans="1:13" ht="42" customHeight="1">
      <c r="A17" s="61" t="s">
        <v>199</v>
      </c>
      <c r="B17" s="62" t="s">
        <v>200</v>
      </c>
      <c r="C17" s="80">
        <v>28808.5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7">
        <v>0</v>
      </c>
      <c r="M17" s="57"/>
    </row>
    <row r="18" spans="1:13" ht="42" customHeight="1">
      <c r="A18" s="61" t="s">
        <v>201</v>
      </c>
      <c r="B18" s="62" t="s">
        <v>202</v>
      </c>
      <c r="C18" s="80">
        <f>79783.2+2388.7</f>
        <v>82171.9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7">
        <v>0</v>
      </c>
      <c r="M18" s="57"/>
    </row>
    <row r="19" spans="1:13" ht="42" customHeight="1">
      <c r="A19" s="61" t="s">
        <v>203</v>
      </c>
      <c r="B19" s="62" t="s">
        <v>185</v>
      </c>
      <c r="C19" s="80">
        <v>666.7</v>
      </c>
      <c r="D19" s="80">
        <f>667+780</f>
        <v>1447</v>
      </c>
      <c r="E19" s="80">
        <v>2874</v>
      </c>
      <c r="F19" s="80">
        <v>2208</v>
      </c>
      <c r="G19" s="80">
        <v>2255</v>
      </c>
      <c r="H19" s="80">
        <v>1428</v>
      </c>
      <c r="I19" s="80">
        <v>1428</v>
      </c>
      <c r="J19" s="80">
        <v>1428</v>
      </c>
      <c r="K19" s="80">
        <v>1432</v>
      </c>
      <c r="L19" s="87">
        <v>0</v>
      </c>
      <c r="M19" s="57"/>
    </row>
    <row r="20" spans="1:13" ht="42" customHeight="1">
      <c r="A20" s="61" t="s">
        <v>204</v>
      </c>
      <c r="B20" s="62" t="s">
        <v>198</v>
      </c>
      <c r="C20" s="80">
        <f>3673.6+3533.3</f>
        <v>7206.9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7">
        <v>0</v>
      </c>
      <c r="M20" s="57"/>
    </row>
    <row r="21" spans="1:13" ht="42" customHeight="1">
      <c r="A21" s="66" t="s">
        <v>186</v>
      </c>
      <c r="B21" s="67" t="s">
        <v>187</v>
      </c>
      <c r="C21" s="83">
        <f aca="true" t="shared" si="3" ref="C21:L21">SUM(C6,C16)</f>
        <v>581221.3</v>
      </c>
      <c r="D21" s="83">
        <f t="shared" si="3"/>
        <v>477918.9</v>
      </c>
      <c r="E21" s="83">
        <f t="shared" si="3"/>
        <v>401074</v>
      </c>
      <c r="F21" s="83">
        <f t="shared" si="3"/>
        <v>404308</v>
      </c>
      <c r="G21" s="83">
        <f t="shared" si="3"/>
        <v>408355</v>
      </c>
      <c r="H21" s="83">
        <f t="shared" si="3"/>
        <v>411628</v>
      </c>
      <c r="I21" s="83">
        <f t="shared" si="3"/>
        <v>415728</v>
      </c>
      <c r="J21" s="83">
        <f t="shared" si="3"/>
        <v>419828</v>
      </c>
      <c r="K21" s="83">
        <f t="shared" si="3"/>
        <v>424032</v>
      </c>
      <c r="L21" s="88">
        <f t="shared" si="3"/>
        <v>427700</v>
      </c>
      <c r="M21" s="57"/>
    </row>
    <row r="22" spans="1:13" ht="42" customHeight="1">
      <c r="A22" s="68" t="s">
        <v>188</v>
      </c>
      <c r="B22" s="69" t="s">
        <v>208</v>
      </c>
      <c r="C22" s="82">
        <f aca="true" t="shared" si="4" ref="C22:J22">C23+C29</f>
        <v>501657.30000000005</v>
      </c>
      <c r="D22" s="82">
        <f t="shared" si="4"/>
        <v>387946</v>
      </c>
      <c r="E22" s="82">
        <f t="shared" si="4"/>
        <v>393273</v>
      </c>
      <c r="F22" s="82">
        <f t="shared" si="4"/>
        <v>396507</v>
      </c>
      <c r="G22" s="82">
        <f t="shared" si="4"/>
        <v>400554</v>
      </c>
      <c r="H22" s="82">
        <f t="shared" si="4"/>
        <v>406027</v>
      </c>
      <c r="I22" s="82">
        <f t="shared" si="4"/>
        <v>410127</v>
      </c>
      <c r="J22" s="82">
        <f t="shared" si="4"/>
        <v>414227</v>
      </c>
      <c r="K22" s="82">
        <f>K23+K29</f>
        <v>418430.5</v>
      </c>
      <c r="L22" s="86">
        <f>L23+L29</f>
        <v>425700</v>
      </c>
      <c r="M22" s="57"/>
    </row>
    <row r="23" spans="1:13" ht="42" customHeight="1">
      <c r="A23" s="61" t="s">
        <v>164</v>
      </c>
      <c r="B23" s="62" t="s">
        <v>195</v>
      </c>
      <c r="C23" s="80">
        <f>344807.2-186+7670+410.9</f>
        <v>352702.10000000003</v>
      </c>
      <c r="D23" s="80">
        <v>315254.1</v>
      </c>
      <c r="E23" s="80">
        <v>320957.4</v>
      </c>
      <c r="F23" s="80">
        <v>327091.4</v>
      </c>
      <c r="G23" s="80">
        <v>331138.4</v>
      </c>
      <c r="H23" s="80">
        <v>336611.4</v>
      </c>
      <c r="I23" s="80">
        <v>340711.4</v>
      </c>
      <c r="J23" s="80">
        <v>344811.3</v>
      </c>
      <c r="K23" s="80">
        <v>354115.3</v>
      </c>
      <c r="L23" s="87">
        <v>352683.3</v>
      </c>
      <c r="M23" s="57"/>
    </row>
    <row r="24" spans="1:13" ht="42" customHeight="1">
      <c r="A24" s="61" t="s">
        <v>196</v>
      </c>
      <c r="B24" s="62" t="s">
        <v>173</v>
      </c>
      <c r="C24" s="80">
        <v>1500</v>
      </c>
      <c r="D24" s="80">
        <v>1094</v>
      </c>
      <c r="E24" s="80">
        <v>955</v>
      </c>
      <c r="F24" s="80">
        <v>484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7">
        <v>0</v>
      </c>
      <c r="M24" s="57"/>
    </row>
    <row r="25" spans="1:13" ht="42" customHeight="1">
      <c r="A25" s="61" t="s">
        <v>206</v>
      </c>
      <c r="B25" s="62" t="s">
        <v>217</v>
      </c>
      <c r="C25" s="80">
        <f>SUM(C26:C28)</f>
        <v>2130</v>
      </c>
      <c r="D25" s="80">
        <f aca="true" t="shared" si="5" ref="D25:L25">SUM(D26:D28)</f>
        <v>3580</v>
      </c>
      <c r="E25" s="80">
        <f t="shared" si="5"/>
        <v>3170</v>
      </c>
      <c r="F25" s="80">
        <f t="shared" si="5"/>
        <v>2570</v>
      </c>
      <c r="G25" s="80">
        <f t="shared" si="5"/>
        <v>2110</v>
      </c>
      <c r="H25" s="80">
        <f t="shared" si="5"/>
        <v>1700</v>
      </c>
      <c r="I25" s="80">
        <f t="shared" si="5"/>
        <v>1280</v>
      </c>
      <c r="J25" s="80">
        <f t="shared" si="5"/>
        <v>850</v>
      </c>
      <c r="K25" s="80">
        <f t="shared" si="5"/>
        <v>460</v>
      </c>
      <c r="L25" s="87">
        <f t="shared" si="5"/>
        <v>140</v>
      </c>
      <c r="M25" s="57"/>
    </row>
    <row r="26" spans="1:13" ht="42" customHeight="1">
      <c r="A26" s="61"/>
      <c r="B26" s="62" t="s">
        <v>221</v>
      </c>
      <c r="C26" s="80">
        <v>200</v>
      </c>
      <c r="D26" s="80">
        <v>1200</v>
      </c>
      <c r="E26" s="80">
        <v>1100</v>
      </c>
      <c r="F26" s="80">
        <v>900</v>
      </c>
      <c r="G26" s="80">
        <v>750</v>
      </c>
      <c r="H26" s="80">
        <v>600</v>
      </c>
      <c r="I26" s="80">
        <v>450</v>
      </c>
      <c r="J26" s="80">
        <v>250</v>
      </c>
      <c r="K26" s="80">
        <v>100</v>
      </c>
      <c r="L26" s="87">
        <v>0</v>
      </c>
      <c r="M26" s="57"/>
    </row>
    <row r="27" spans="1:13" ht="42" customHeight="1">
      <c r="A27" s="61"/>
      <c r="B27" s="62" t="s">
        <v>218</v>
      </c>
      <c r="C27" s="80">
        <f>2580-1250</f>
        <v>1330</v>
      </c>
      <c r="D27" s="80">
        <v>2380</v>
      </c>
      <c r="E27" s="80">
        <v>2070</v>
      </c>
      <c r="F27" s="80">
        <v>1670</v>
      </c>
      <c r="G27" s="80">
        <v>1360</v>
      </c>
      <c r="H27" s="80">
        <v>1100</v>
      </c>
      <c r="I27" s="80">
        <v>830</v>
      </c>
      <c r="J27" s="80">
        <v>600</v>
      </c>
      <c r="K27" s="80">
        <v>360</v>
      </c>
      <c r="L27" s="87">
        <v>140</v>
      </c>
      <c r="M27" s="57"/>
    </row>
    <row r="28" spans="1:13" ht="42" customHeight="1">
      <c r="A28" s="61"/>
      <c r="B28" s="62" t="s">
        <v>219</v>
      </c>
      <c r="C28" s="80">
        <f>1300-700</f>
        <v>600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7">
        <v>0</v>
      </c>
      <c r="M28" s="57"/>
    </row>
    <row r="29" spans="1:13" ht="42" customHeight="1">
      <c r="A29" s="61" t="s">
        <v>165</v>
      </c>
      <c r="B29" s="64" t="s">
        <v>174</v>
      </c>
      <c r="C29" s="80">
        <f>131290.2-28379.8+44884.7+1160.1</f>
        <v>148955.2</v>
      </c>
      <c r="D29" s="80">
        <f>73276.3-3601+3016.6</f>
        <v>72691.90000000001</v>
      </c>
      <c r="E29" s="80">
        <f>72900-3601+3016.6</f>
        <v>72315.6</v>
      </c>
      <c r="F29" s="80">
        <f>70000-3601+3016.6</f>
        <v>69415.6</v>
      </c>
      <c r="G29" s="80">
        <f>70000-3601+3016.6</f>
        <v>69415.6</v>
      </c>
      <c r="H29" s="80">
        <f>70000-3601+3016.6</f>
        <v>69415.6</v>
      </c>
      <c r="I29" s="80">
        <f>70000-3601+3016.6</f>
        <v>69415.6</v>
      </c>
      <c r="J29" s="80">
        <f>70000-3601+3016.7</f>
        <v>69415.7</v>
      </c>
      <c r="K29" s="80">
        <f>64900-3601.5+3016.7</f>
        <v>64315.2</v>
      </c>
      <c r="L29" s="87">
        <f>70000+3016.7</f>
        <v>73016.7</v>
      </c>
      <c r="M29" s="57"/>
    </row>
    <row r="30" spans="1:13" ht="42" customHeight="1">
      <c r="A30" s="70" t="s">
        <v>189</v>
      </c>
      <c r="B30" s="71" t="s">
        <v>207</v>
      </c>
      <c r="C30" s="84">
        <f aca="true" t="shared" si="6" ref="C30:L30">C6-C22</f>
        <v>-39290</v>
      </c>
      <c r="D30" s="84">
        <f t="shared" si="6"/>
        <v>88525.90000000002</v>
      </c>
      <c r="E30" s="84">
        <f t="shared" si="6"/>
        <v>4927</v>
      </c>
      <c r="F30" s="84">
        <f t="shared" si="6"/>
        <v>5593</v>
      </c>
      <c r="G30" s="84">
        <f t="shared" si="6"/>
        <v>5546</v>
      </c>
      <c r="H30" s="84">
        <f t="shared" si="6"/>
        <v>4173</v>
      </c>
      <c r="I30" s="84">
        <f t="shared" si="6"/>
        <v>4173</v>
      </c>
      <c r="J30" s="84">
        <f t="shared" si="6"/>
        <v>4173</v>
      </c>
      <c r="K30" s="84">
        <f t="shared" si="6"/>
        <v>4169.5</v>
      </c>
      <c r="L30" s="89">
        <f t="shared" si="6"/>
        <v>2000</v>
      </c>
      <c r="M30" s="57"/>
    </row>
    <row r="31" spans="1:13" ht="42" customHeight="1">
      <c r="A31" s="66" t="s">
        <v>190</v>
      </c>
      <c r="B31" s="67" t="s">
        <v>191</v>
      </c>
      <c r="C31" s="83">
        <f>SUM(C32,C35,C36)</f>
        <v>79564</v>
      </c>
      <c r="D31" s="83">
        <f>SUM(D32,D35,D36)</f>
        <v>89972.9</v>
      </c>
      <c r="E31" s="83">
        <f>SUM(E32,E35,E36)</f>
        <v>7801</v>
      </c>
      <c r="F31" s="83">
        <f>SUM(F32,F35,F36)</f>
        <v>7801</v>
      </c>
      <c r="G31" s="83">
        <f aca="true" t="shared" si="7" ref="G31:L31">SUM(G32,G35,G36)</f>
        <v>7801</v>
      </c>
      <c r="H31" s="83">
        <f t="shared" si="7"/>
        <v>5601</v>
      </c>
      <c r="I31" s="83">
        <f t="shared" si="7"/>
        <v>5601</v>
      </c>
      <c r="J31" s="83">
        <f t="shared" si="7"/>
        <v>5601</v>
      </c>
      <c r="K31" s="83">
        <f t="shared" si="7"/>
        <v>5601.5</v>
      </c>
      <c r="L31" s="88">
        <f t="shared" si="7"/>
        <v>2000</v>
      </c>
      <c r="M31" s="57"/>
    </row>
    <row r="32" spans="1:13" ht="42" customHeight="1">
      <c r="A32" s="61" t="s">
        <v>164</v>
      </c>
      <c r="B32" s="62" t="s">
        <v>214</v>
      </c>
      <c r="C32" s="80">
        <f aca="true" t="shared" si="8" ref="C32:L32">SUM(C33:C34)</f>
        <v>4200</v>
      </c>
      <c r="D32" s="80">
        <f t="shared" si="8"/>
        <v>7801</v>
      </c>
      <c r="E32" s="80">
        <f t="shared" si="8"/>
        <v>7801</v>
      </c>
      <c r="F32" s="80">
        <f t="shared" si="8"/>
        <v>7801</v>
      </c>
      <c r="G32" s="80">
        <f t="shared" si="8"/>
        <v>7801</v>
      </c>
      <c r="H32" s="80">
        <f t="shared" si="8"/>
        <v>5601</v>
      </c>
      <c r="I32" s="80">
        <f t="shared" si="8"/>
        <v>5601</v>
      </c>
      <c r="J32" s="80">
        <f t="shared" si="8"/>
        <v>5601</v>
      </c>
      <c r="K32" s="80">
        <f t="shared" si="8"/>
        <v>5601.5</v>
      </c>
      <c r="L32" s="87">
        <f t="shared" si="8"/>
        <v>2000</v>
      </c>
      <c r="M32" s="57"/>
    </row>
    <row r="33" spans="1:13" ht="42" customHeight="1">
      <c r="A33" s="61"/>
      <c r="B33" s="62" t="s">
        <v>215</v>
      </c>
      <c r="C33" s="80">
        <f>2200+5016.6-3016.6</f>
        <v>4200</v>
      </c>
      <c r="D33" s="80">
        <f>2200+5016.6-3016.6</f>
        <v>4200</v>
      </c>
      <c r="E33" s="80">
        <f>2200+5016.6-3016.6</f>
        <v>4200</v>
      </c>
      <c r="F33" s="80">
        <f>2200+5016.6-3016.6</f>
        <v>4200</v>
      </c>
      <c r="G33" s="80">
        <f>2200+5016.6-3016.6</f>
        <v>4200</v>
      </c>
      <c r="H33" s="80">
        <f>5016.6-3016.6</f>
        <v>2000.0000000000005</v>
      </c>
      <c r="I33" s="80">
        <f>5016.6-3016.6</f>
        <v>2000.0000000000005</v>
      </c>
      <c r="J33" s="80">
        <f>5016.7-3016.7</f>
        <v>2000</v>
      </c>
      <c r="K33" s="80">
        <f>5016.7-3016.7</f>
        <v>2000</v>
      </c>
      <c r="L33" s="87">
        <f>5016.7-3016.7</f>
        <v>2000</v>
      </c>
      <c r="M33" s="57"/>
    </row>
    <row r="34" spans="1:13" ht="42" customHeight="1">
      <c r="A34" s="61"/>
      <c r="B34" s="62" t="s">
        <v>216</v>
      </c>
      <c r="C34" s="80">
        <v>0</v>
      </c>
      <c r="D34" s="80">
        <v>3601</v>
      </c>
      <c r="E34" s="80">
        <v>3601</v>
      </c>
      <c r="F34" s="80">
        <v>3601</v>
      </c>
      <c r="G34" s="80">
        <v>3601</v>
      </c>
      <c r="H34" s="80">
        <v>3601</v>
      </c>
      <c r="I34" s="80">
        <v>3601</v>
      </c>
      <c r="J34" s="80">
        <v>3601</v>
      </c>
      <c r="K34" s="80">
        <v>3601.5</v>
      </c>
      <c r="L34" s="87">
        <v>0</v>
      </c>
      <c r="M34" s="57"/>
    </row>
    <row r="35" spans="1:13" ht="45.75" customHeight="1">
      <c r="A35" s="61" t="s">
        <v>165</v>
      </c>
      <c r="B35" s="62" t="s">
        <v>210</v>
      </c>
      <c r="C35" s="80">
        <f>81912.4-6548.4</f>
        <v>75364</v>
      </c>
      <c r="D35" s="80">
        <v>82171.9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7">
        <v>0</v>
      </c>
      <c r="M35" s="57"/>
    </row>
    <row r="36" spans="1:13" ht="42" customHeight="1">
      <c r="A36" s="61" t="s">
        <v>166</v>
      </c>
      <c r="B36" s="64" t="s">
        <v>182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7">
        <v>0</v>
      </c>
      <c r="M36" s="57"/>
    </row>
    <row r="37" spans="1:13" ht="42" customHeight="1">
      <c r="A37" s="68" t="s">
        <v>192</v>
      </c>
      <c r="B37" s="72" t="s">
        <v>211</v>
      </c>
      <c r="C37" s="82">
        <f aca="true" t="shared" si="9" ref="C37:L37">SUM(C24+C25+C32+C35)</f>
        <v>83194</v>
      </c>
      <c r="D37" s="82">
        <f t="shared" si="9"/>
        <v>94646.9</v>
      </c>
      <c r="E37" s="82">
        <f t="shared" si="9"/>
        <v>11926</v>
      </c>
      <c r="F37" s="82">
        <f t="shared" si="9"/>
        <v>10855</v>
      </c>
      <c r="G37" s="82">
        <f t="shared" si="9"/>
        <v>9911</v>
      </c>
      <c r="H37" s="82">
        <f t="shared" si="9"/>
        <v>7301</v>
      </c>
      <c r="I37" s="82">
        <f t="shared" si="9"/>
        <v>6881</v>
      </c>
      <c r="J37" s="82">
        <f t="shared" si="9"/>
        <v>6451</v>
      </c>
      <c r="K37" s="82">
        <f t="shared" si="9"/>
        <v>6061.5</v>
      </c>
      <c r="L37" s="86">
        <f t="shared" si="9"/>
        <v>2140</v>
      </c>
      <c r="M37" s="57"/>
    </row>
    <row r="38" spans="1:13" ht="42" customHeight="1">
      <c r="A38" s="68" t="s">
        <v>193</v>
      </c>
      <c r="B38" s="73" t="s">
        <v>209</v>
      </c>
      <c r="C38" s="82">
        <f aca="true" t="shared" si="10" ref="C38:L38">SUM(C22,C31)</f>
        <v>581221.3</v>
      </c>
      <c r="D38" s="82">
        <f t="shared" si="10"/>
        <v>477918.9</v>
      </c>
      <c r="E38" s="82">
        <f t="shared" si="10"/>
        <v>401074</v>
      </c>
      <c r="F38" s="82">
        <f t="shared" si="10"/>
        <v>404308</v>
      </c>
      <c r="G38" s="82">
        <f t="shared" si="10"/>
        <v>408355</v>
      </c>
      <c r="H38" s="82">
        <f t="shared" si="10"/>
        <v>411628</v>
      </c>
      <c r="I38" s="82">
        <f t="shared" si="10"/>
        <v>415728</v>
      </c>
      <c r="J38" s="82">
        <f t="shared" si="10"/>
        <v>419828</v>
      </c>
      <c r="K38" s="82">
        <f t="shared" si="10"/>
        <v>424032</v>
      </c>
      <c r="L38" s="86">
        <f t="shared" si="10"/>
        <v>427700</v>
      </c>
      <c r="M38" s="57"/>
    </row>
    <row r="39" spans="1:13" ht="42" customHeight="1">
      <c r="A39" s="66" t="s">
        <v>194</v>
      </c>
      <c r="B39" s="67" t="s">
        <v>205</v>
      </c>
      <c r="C39" s="83">
        <v>106364</v>
      </c>
      <c r="D39" s="83">
        <f aca="true" t="shared" si="11" ref="D39:L39">C40</f>
        <v>137780.4</v>
      </c>
      <c r="E39" s="83">
        <f t="shared" si="11"/>
        <v>47807.5</v>
      </c>
      <c r="F39" s="83">
        <f t="shared" si="11"/>
        <v>40006.5</v>
      </c>
      <c r="G39" s="83">
        <f t="shared" si="11"/>
        <v>32205.5</v>
      </c>
      <c r="H39" s="83">
        <f t="shared" si="11"/>
        <v>24404.5</v>
      </c>
      <c r="I39" s="83">
        <f t="shared" si="11"/>
        <v>18803.5</v>
      </c>
      <c r="J39" s="83">
        <f t="shared" si="11"/>
        <v>13202.5</v>
      </c>
      <c r="K39" s="83">
        <f t="shared" si="11"/>
        <v>7601.5</v>
      </c>
      <c r="L39" s="88">
        <f t="shared" si="11"/>
        <v>2000</v>
      </c>
      <c r="M39" s="57"/>
    </row>
    <row r="40" spans="1:13" ht="42" customHeight="1" thickBot="1">
      <c r="A40" s="74" t="s">
        <v>197</v>
      </c>
      <c r="B40" s="75" t="s">
        <v>212</v>
      </c>
      <c r="C40" s="85">
        <f aca="true" t="shared" si="12" ref="C40:L40">C39+C17+C18-C32-C35</f>
        <v>137780.4</v>
      </c>
      <c r="D40" s="85">
        <f t="shared" si="12"/>
        <v>47807.5</v>
      </c>
      <c r="E40" s="85">
        <f t="shared" si="12"/>
        <v>40006.5</v>
      </c>
      <c r="F40" s="85">
        <f t="shared" si="12"/>
        <v>32205.5</v>
      </c>
      <c r="G40" s="85">
        <f t="shared" si="12"/>
        <v>24404.5</v>
      </c>
      <c r="H40" s="85">
        <f t="shared" si="12"/>
        <v>18803.5</v>
      </c>
      <c r="I40" s="85">
        <f t="shared" si="12"/>
        <v>13202.5</v>
      </c>
      <c r="J40" s="85">
        <f t="shared" si="12"/>
        <v>7601.5</v>
      </c>
      <c r="K40" s="85">
        <f t="shared" si="12"/>
        <v>2000</v>
      </c>
      <c r="L40" s="90">
        <f t="shared" si="12"/>
        <v>0</v>
      </c>
      <c r="M40" s="57"/>
    </row>
    <row r="41" spans="1:13" ht="15.75">
      <c r="A41" s="76"/>
      <c r="B41" s="77"/>
      <c r="C41" s="56"/>
      <c r="D41" s="56"/>
      <c r="E41" s="56"/>
      <c r="F41" s="56"/>
      <c r="G41" s="56"/>
      <c r="H41" s="56"/>
      <c r="I41" s="100"/>
      <c r="J41" s="100"/>
      <c r="K41" s="100"/>
      <c r="L41" s="100"/>
      <c r="M41" s="57"/>
    </row>
    <row r="42" spans="1:13" ht="15.75">
      <c r="A42" s="123"/>
      <c r="B42" s="123"/>
      <c r="C42" s="78"/>
      <c r="D42" s="78"/>
      <c r="E42" s="78"/>
      <c r="F42" s="78"/>
      <c r="G42" s="78"/>
      <c r="H42" s="78"/>
      <c r="I42" s="65"/>
      <c r="J42" s="65"/>
      <c r="K42" s="65"/>
      <c r="L42" s="65"/>
      <c r="M42" s="57"/>
    </row>
    <row r="43" spans="1:2" ht="15.75">
      <c r="A43" s="14"/>
      <c r="B43" s="15"/>
    </row>
    <row r="44" spans="1:2" ht="15.75">
      <c r="A44" s="14"/>
      <c r="B44" s="15"/>
    </row>
    <row r="45" spans="1:2" ht="15.75">
      <c r="A45" s="14"/>
      <c r="B45" s="15"/>
    </row>
    <row r="46" spans="1:2" ht="15.75">
      <c r="A46" s="14"/>
      <c r="B46" s="15"/>
    </row>
    <row r="47" spans="1:2" ht="15.75">
      <c r="A47" s="14"/>
      <c r="B47" s="15"/>
    </row>
    <row r="48" spans="1:2" ht="15.75">
      <c r="A48" s="14"/>
      <c r="B48" s="15"/>
    </row>
    <row r="49" spans="1:2" ht="15.75">
      <c r="A49" s="14"/>
      <c r="B49" s="15"/>
    </row>
    <row r="50" spans="1:2" ht="15.75">
      <c r="A50" s="14"/>
      <c r="B50" s="15"/>
    </row>
    <row r="51" spans="1:2" ht="15.75">
      <c r="A51" s="14"/>
      <c r="B51" s="15"/>
    </row>
    <row r="52" spans="1:2" ht="15.75">
      <c r="A52" s="14"/>
      <c r="B52" s="15"/>
    </row>
    <row r="53" spans="1:2" ht="15.75">
      <c r="A53" s="14"/>
      <c r="B53" s="15"/>
    </row>
    <row r="54" spans="1:2" ht="15.75">
      <c r="A54" s="14"/>
      <c r="B54" s="15"/>
    </row>
    <row r="55" spans="1:2" ht="15.75">
      <c r="A55" s="14"/>
      <c r="B55" s="15"/>
    </row>
    <row r="56" spans="1:2" ht="15.75">
      <c r="A56" s="14"/>
      <c r="B56" s="15"/>
    </row>
    <row r="57" spans="1:2" ht="15.75">
      <c r="A57" s="14"/>
      <c r="B57" s="15"/>
    </row>
    <row r="58" spans="1:2" ht="15.75">
      <c r="A58" s="14"/>
      <c r="B58" s="15"/>
    </row>
    <row r="59" spans="1:2" ht="15.75">
      <c r="A59" s="14"/>
      <c r="B59" s="15"/>
    </row>
    <row r="60" spans="1:2" ht="15.75">
      <c r="A60" s="14"/>
      <c r="B60" s="15"/>
    </row>
    <row r="61" spans="1:2" ht="15.75">
      <c r="A61" s="14"/>
      <c r="B61" s="15"/>
    </row>
    <row r="62" spans="1:2" ht="15.75">
      <c r="A62" s="14"/>
      <c r="B62" s="15"/>
    </row>
    <row r="63" spans="1:2" ht="15.75">
      <c r="A63" s="14"/>
      <c r="B63" s="15"/>
    </row>
    <row r="64" spans="1:2" ht="15.75">
      <c r="A64" s="14"/>
      <c r="B64" s="15"/>
    </row>
    <row r="65" spans="1:2" ht="15.75">
      <c r="A65" s="14"/>
      <c r="B65" s="15"/>
    </row>
    <row r="66" spans="1:2" ht="15.75">
      <c r="A66" s="14"/>
      <c r="B66" s="15"/>
    </row>
    <row r="67" spans="1:2" ht="15.75">
      <c r="A67" s="14"/>
      <c r="B67" s="15"/>
    </row>
    <row r="68" spans="1:2" ht="15.75">
      <c r="A68" s="14"/>
      <c r="B68" s="15"/>
    </row>
    <row r="69" spans="1:2" ht="15.75">
      <c r="A69" s="14"/>
      <c r="B69" s="15"/>
    </row>
    <row r="70" spans="1:2" ht="15.75">
      <c r="A70" s="14"/>
      <c r="B70" s="15"/>
    </row>
    <row r="71" spans="1:2" ht="15.75">
      <c r="A71" s="14"/>
      <c r="B71" s="15"/>
    </row>
    <row r="72" spans="1:2" ht="15.75">
      <c r="A72" s="14"/>
      <c r="B72" s="15"/>
    </row>
    <row r="73" spans="1:2" ht="15.75">
      <c r="A73" s="14"/>
      <c r="B73" s="15"/>
    </row>
    <row r="74" spans="1:2" ht="15.75">
      <c r="A74" s="14"/>
      <c r="B74" s="15"/>
    </row>
    <row r="75" spans="1:2" ht="15.75">
      <c r="A75" s="14"/>
      <c r="B75" s="15"/>
    </row>
    <row r="76" spans="1:2" ht="15.75">
      <c r="A76" s="14"/>
      <c r="B76" s="15"/>
    </row>
    <row r="77" spans="1:2" ht="15.75">
      <c r="A77" s="14"/>
      <c r="B77" s="15"/>
    </row>
    <row r="78" spans="1:2" ht="15.75">
      <c r="A78" s="14"/>
      <c r="B78" s="15"/>
    </row>
    <row r="79" spans="1:2" ht="15.75">
      <c r="A79" s="14"/>
      <c r="B79" s="15"/>
    </row>
    <row r="80" spans="1:2" ht="15.75">
      <c r="A80" s="14"/>
      <c r="B80" s="15"/>
    </row>
    <row r="81" spans="1:2" ht="15.75">
      <c r="A81" s="14"/>
      <c r="B81" s="15"/>
    </row>
    <row r="82" spans="1:2" ht="15.75">
      <c r="A82" s="14"/>
      <c r="B82" s="15"/>
    </row>
    <row r="83" spans="1:2" ht="15.75">
      <c r="A83" s="14"/>
      <c r="B83" s="15"/>
    </row>
    <row r="84" spans="1:2" ht="15.75">
      <c r="A84" s="14"/>
      <c r="B84" s="15"/>
    </row>
    <row r="85" spans="1:2" ht="15.75">
      <c r="A85" s="14"/>
      <c r="B85" s="15"/>
    </row>
    <row r="86" spans="1:2" ht="15.75">
      <c r="A86" s="14"/>
      <c r="B86" s="15"/>
    </row>
    <row r="87" spans="1:2" ht="15.75">
      <c r="A87" s="14"/>
      <c r="B87" s="15"/>
    </row>
    <row r="88" spans="1:2" ht="15.75">
      <c r="A88" s="14"/>
      <c r="B88" s="15"/>
    </row>
    <row r="89" spans="1:2" ht="15.75">
      <c r="A89" s="14"/>
      <c r="B89" s="15"/>
    </row>
    <row r="90" spans="1:2" ht="15.75">
      <c r="A90" s="14"/>
      <c r="B90" s="15"/>
    </row>
    <row r="91" spans="1:2" ht="15.75">
      <c r="A91" s="14"/>
      <c r="B91" s="15"/>
    </row>
    <row r="92" spans="1:2" ht="15.75">
      <c r="A92" s="14"/>
      <c r="B92" s="15"/>
    </row>
    <row r="93" spans="1:2" ht="15.75">
      <c r="A93" s="14"/>
      <c r="B93" s="15"/>
    </row>
    <row r="94" spans="1:2" ht="15.75">
      <c r="A94" s="14"/>
      <c r="B94" s="15"/>
    </row>
    <row r="95" spans="1:2" ht="15.75">
      <c r="A95" s="14"/>
      <c r="B95" s="15"/>
    </row>
    <row r="96" spans="1:2" ht="15.75">
      <c r="A96" s="14"/>
      <c r="B96" s="15"/>
    </row>
    <row r="97" spans="1:2" ht="15.75">
      <c r="A97" s="14"/>
      <c r="B97" s="15"/>
    </row>
    <row r="98" spans="1:2" ht="15.75">
      <c r="A98" s="14"/>
      <c r="B98" s="15"/>
    </row>
    <row r="99" spans="1:2" ht="15.75">
      <c r="A99" s="14"/>
      <c r="B99" s="15"/>
    </row>
    <row r="100" spans="1:2" ht="15.75">
      <c r="A100" s="14"/>
      <c r="B100" s="15"/>
    </row>
    <row r="101" spans="1:2" ht="15.75">
      <c r="A101" s="14"/>
      <c r="B101" s="15"/>
    </row>
    <row r="102" spans="1:2" ht="15.75">
      <c r="A102" s="14"/>
      <c r="B102" s="15"/>
    </row>
    <row r="103" spans="1:2" ht="15.75">
      <c r="A103" s="14"/>
      <c r="B103" s="15"/>
    </row>
    <row r="104" spans="1:2" ht="15.75">
      <c r="A104" s="14"/>
      <c r="B104" s="15"/>
    </row>
    <row r="105" spans="1:2" ht="15.75">
      <c r="A105" s="14"/>
      <c r="B105" s="15"/>
    </row>
    <row r="106" spans="1:2" ht="15.75">
      <c r="A106" s="14"/>
      <c r="B106" s="15"/>
    </row>
    <row r="107" spans="1:2" ht="15.75">
      <c r="A107" s="14"/>
      <c r="B107" s="15"/>
    </row>
    <row r="108" spans="1:2" ht="15.75">
      <c r="A108" s="14"/>
      <c r="B108" s="15"/>
    </row>
    <row r="109" spans="1:2" ht="15.75">
      <c r="A109" s="14"/>
      <c r="B109" s="15"/>
    </row>
    <row r="110" spans="1:2" ht="15.75">
      <c r="A110" s="14"/>
      <c r="B110" s="15"/>
    </row>
    <row r="111" spans="1:2" ht="15.75">
      <c r="A111" s="14"/>
      <c r="B111" s="15"/>
    </row>
    <row r="112" spans="1:2" ht="15.75">
      <c r="A112" s="14"/>
      <c r="B112" s="15"/>
    </row>
    <row r="113" spans="1:2" ht="15.75">
      <c r="A113" s="14"/>
      <c r="B113" s="15"/>
    </row>
    <row r="114" spans="1:2" ht="15.75">
      <c r="A114" s="14"/>
      <c r="B114" s="15"/>
    </row>
    <row r="115" spans="1:2" ht="15.75">
      <c r="A115" s="14"/>
      <c r="B115" s="15"/>
    </row>
    <row r="116" spans="1:2" ht="15.75">
      <c r="A116" s="14"/>
      <c r="B116" s="15"/>
    </row>
    <row r="117" spans="1:2" ht="15.75">
      <c r="A117" s="14"/>
      <c r="B117" s="15"/>
    </row>
    <row r="118" spans="1:2" ht="15.75">
      <c r="A118" s="14"/>
      <c r="B118" s="15"/>
    </row>
    <row r="119" spans="1:2" ht="15.75">
      <c r="A119" s="14"/>
      <c r="B119" s="15"/>
    </row>
    <row r="120" spans="1:2" ht="15.75">
      <c r="A120" s="14"/>
      <c r="B120" s="15"/>
    </row>
    <row r="121" spans="1:2" ht="15.75">
      <c r="A121" s="14"/>
      <c r="B121" s="15"/>
    </row>
    <row r="122" spans="1:2" ht="15.75">
      <c r="A122" s="14"/>
      <c r="B122" s="15"/>
    </row>
    <row r="123" spans="1:2" ht="15.75">
      <c r="A123" s="14"/>
      <c r="B123" s="15"/>
    </row>
    <row r="124" spans="1:2" ht="15.75">
      <c r="A124" s="14"/>
      <c r="B124" s="15"/>
    </row>
    <row r="125" spans="1:2" ht="15.75">
      <c r="A125" s="14"/>
      <c r="B125" s="15"/>
    </row>
    <row r="126" spans="1:2" ht="15.75">
      <c r="A126" s="14"/>
      <c r="B126" s="15"/>
    </row>
    <row r="127" spans="1:2" ht="15.75">
      <c r="A127" s="14"/>
      <c r="B127" s="15"/>
    </row>
    <row r="128" spans="1:2" ht="15.75">
      <c r="A128" s="14"/>
      <c r="B128" s="15"/>
    </row>
    <row r="129" spans="1:2" ht="15.75">
      <c r="A129" s="14"/>
      <c r="B129" s="15"/>
    </row>
    <row r="130" spans="1:2" ht="15.75">
      <c r="A130" s="14"/>
      <c r="B130" s="15"/>
    </row>
    <row r="131" spans="1:2" ht="15.75">
      <c r="A131" s="14"/>
      <c r="B131" s="15"/>
    </row>
    <row r="132" spans="1:2" ht="15.75">
      <c r="A132" s="14"/>
      <c r="B132" s="15"/>
    </row>
    <row r="133" spans="1:2" ht="15.75">
      <c r="A133" s="14"/>
      <c r="B133" s="15"/>
    </row>
    <row r="134" spans="1:2" ht="15.75">
      <c r="A134" s="14"/>
      <c r="B134" s="15"/>
    </row>
    <row r="135" spans="1:2" ht="15.75">
      <c r="A135" s="14"/>
      <c r="B135" s="15"/>
    </row>
    <row r="136" spans="1:2" ht="15.75">
      <c r="A136" s="14"/>
      <c r="B136" s="15"/>
    </row>
    <row r="137" spans="1:2" ht="15.75">
      <c r="A137" s="14"/>
      <c r="B137" s="15"/>
    </row>
    <row r="138" spans="1:2" ht="15.75">
      <c r="A138" s="14"/>
      <c r="B138" s="15"/>
    </row>
    <row r="139" spans="1:2" ht="15.75">
      <c r="A139" s="14"/>
      <c r="B139" s="15"/>
    </row>
    <row r="140" spans="1:2" ht="15.75">
      <c r="A140" s="14"/>
      <c r="B140" s="15"/>
    </row>
    <row r="141" spans="1:2" ht="15.75">
      <c r="A141" s="14"/>
      <c r="B141" s="15"/>
    </row>
    <row r="142" spans="1:2" ht="15.75">
      <c r="A142" s="14"/>
      <c r="B142" s="15"/>
    </row>
  </sheetData>
  <mergeCells count="6">
    <mergeCell ref="A42:B42"/>
    <mergeCell ref="C4:L4"/>
    <mergeCell ref="A2:L2"/>
    <mergeCell ref="J1:L1"/>
    <mergeCell ref="A4:A5"/>
    <mergeCell ref="B4:B5"/>
  </mergeCells>
  <printOptions horizontalCentered="1"/>
  <pageMargins left="0.57" right="0.1968503937007874" top="0.3937007874015748" bottom="0.1968503937007874" header="0.31496062992125984" footer="0.35433070866141736"/>
  <pageSetup fitToHeight="1" fitToWidth="1"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ANNA MURDZIA</cp:lastModifiedBy>
  <cp:lastPrinted>2007-03-29T10:21:48Z</cp:lastPrinted>
  <dcterms:created xsi:type="dcterms:W3CDTF">2001-12-08T13:07:28Z</dcterms:created>
  <dcterms:modified xsi:type="dcterms:W3CDTF">2007-03-29T10:21:52Z</dcterms:modified>
  <cp:category/>
  <cp:version/>
  <cp:contentType/>
  <cp:contentStatus/>
</cp:coreProperties>
</file>